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vnerP\HERZLIYA NEW WEBSITE\PDF\MINHAL CASPI\TAKTZIV\2021\"/>
    </mc:Choice>
  </mc:AlternateContent>
  <bookViews>
    <workbookView xWindow="0" yWindow="0" windowWidth="16220" windowHeight="7370" tabRatio="901"/>
  </bookViews>
  <sheets>
    <sheet name="דף שער" sheetId="28" r:id="rId1"/>
    <sheet name="תוכן" sheetId="2" r:id="rId2"/>
    <sheet name="סעיפים" sheetId="3" r:id="rId3"/>
    <sheet name=" הסבר לתקבולים" sheetId="4" r:id="rId4"/>
    <sheet name="הסבר לתשלומים" sheetId="5" r:id="rId5"/>
    <sheet name="יחידתי" sheetId="6" r:id="rId6"/>
    <sheet name="עצמיות" sheetId="7" r:id="rId7"/>
    <sheet name="יתר-ממשלה" sheetId="8" r:id="rId8"/>
    <sheet name="פרקים" sheetId="9" r:id="rId9"/>
    <sheet name="תמיכות והקצבות" sheetId="10" r:id="rId10"/>
    <sheet name="תמצית תקציב הועדה המרחבית" sheetId="17" r:id="rId11"/>
    <sheet name="תקן-משרות" sheetId="11" r:id="rId12"/>
    <sheet name="תקבולים מפורט" sheetId="12" r:id="rId13"/>
    <sheet name="תשלומים מפורט" sheetId="13" r:id="rId14"/>
    <sheet name="מפתח אגפי" sheetId="14" r:id="rId15"/>
    <sheet name="נספח כח-אדם" sheetId="29" r:id="rId16"/>
  </sheets>
  <externalReferences>
    <externalReference r:id="rId17"/>
    <externalReference r:id="rId18"/>
    <externalReference r:id="rId19"/>
  </externalReferences>
  <definedNames>
    <definedName name="_1." localSheetId="0">'[1]תקבולים מפורט'!$F$3</definedName>
    <definedName name="_1.">'תקבולים מפורט'!$F$3</definedName>
    <definedName name="_11." localSheetId="0">'[1]תקבולים מפורט'!$F$4</definedName>
    <definedName name="_11.">'תקבולים מפורט'!$F$4</definedName>
    <definedName name="_12." localSheetId="0">'[1]תקבולים מפורט'!#REF!</definedName>
    <definedName name="_12." localSheetId="15">'תקבולים מפורט'!#REF!</definedName>
    <definedName name="_12." localSheetId="10">'תקבולים מפורט'!#REF!</definedName>
    <definedName name="_12.">'תקבולים מפורט'!#REF!</definedName>
    <definedName name="_2." localSheetId="0">'[1]תקבולים מפורט'!$F$22</definedName>
    <definedName name="_2.">'תקבולים מפורט'!$F$23</definedName>
    <definedName name="_21." localSheetId="0">'[1]תקבולים מפורט'!$F$23</definedName>
    <definedName name="_21.">'תקבולים מפורט'!$F$24</definedName>
    <definedName name="_22." localSheetId="0">'[1]תקבולים מפורט'!$F$32</definedName>
    <definedName name="_22.">'תקבולים מפורט'!$F$36</definedName>
    <definedName name="_23." localSheetId="0">'[1]תקבולים מפורט'!$F$38</definedName>
    <definedName name="_23.">'תקבולים מפורט'!$F$41</definedName>
    <definedName name="_24." localSheetId="0">'[1]תקבולים מפורט'!$F$45</definedName>
    <definedName name="_24.">'תקבולים מפורט'!$F$53</definedName>
    <definedName name="_244.">'תקבולים מפורט'!$F$54</definedName>
    <definedName name="_2472.">'תקבולים מפורט'!$F$57</definedName>
    <definedName name="_26." localSheetId="0">'[1]תקבולים מפורט'!$F$58</definedName>
    <definedName name="_26.">'תקבולים מפורט'!$F$62</definedName>
    <definedName name="_28." localSheetId="0">'[1]תקבולים מפורט'!$F$64</definedName>
    <definedName name="_28.">'תקבולים מפורט'!$F$72</definedName>
    <definedName name="_29." localSheetId="0">'[1]תקבולים מפורט'!$F$68</definedName>
    <definedName name="_29.">'תקבולים מפורט'!$F$78</definedName>
    <definedName name="_3." localSheetId="0">'[1]תקבולים מפורט'!$F$72</definedName>
    <definedName name="_3.">'תקבולים מפורט'!$F$82</definedName>
    <definedName name="_31." localSheetId="0">'[1]תקבולים מפורט'!$F$73</definedName>
    <definedName name="_31.">'תקבולים מפורט'!$F$83</definedName>
    <definedName name="_312.">'תקבולים מפורט'!$F$87</definedName>
    <definedName name="_313.">'תקבולים מפורט'!$F$97</definedName>
    <definedName name="_3132.">'תקבולים מפורט'!$F$97</definedName>
    <definedName name="_3138.">'תקבולים מפורט'!$F$119</definedName>
    <definedName name="_314.">'תקבולים מפורט'!$F$122</definedName>
    <definedName name="_3141.">'תקבולים מפורט'!$F$129</definedName>
    <definedName name="_315.">'תקבולים מפורט'!$F$132</definedName>
    <definedName name="_317.">'תקבולים מפורט'!$F$141</definedName>
    <definedName name="_318." localSheetId="0">'[2]תקבולים מפורט'!#REF!</definedName>
    <definedName name="_318." localSheetId="15">'תקבולים מפורט'!#REF!</definedName>
    <definedName name="_318.">'תקבולים מפורט'!#REF!</definedName>
    <definedName name="_32." localSheetId="0">'[1]תקבולים מפורט'!$F$141</definedName>
    <definedName name="_32.">'תקבולים מפורט'!$F$170</definedName>
    <definedName name="_323.">'תקבולים מפורט'!$F$171</definedName>
    <definedName name="_324." localSheetId="0">'[1]תקבולים מפורט'!#REF!</definedName>
    <definedName name="_324." localSheetId="15">'תקבולים מפורט'!#REF!</definedName>
    <definedName name="_324." localSheetId="10">'תקבולים מפורט'!#REF!</definedName>
    <definedName name="_324.">'תקבולים מפורט'!#REF!</definedName>
    <definedName name="_325.">'תקבולים מפורט'!$F$175</definedName>
    <definedName name="_326.">'תקבולים מפורט'!$F$178</definedName>
    <definedName name="_327." localSheetId="0">'[1]תקבולים מפורט'!#REF!</definedName>
    <definedName name="_327." localSheetId="15">'תקבולים מפורט'!#REF!</definedName>
    <definedName name="_327." localSheetId="10">'תקבולים מפורט'!#REF!</definedName>
    <definedName name="_327.">'תקבולים מפורט'!#REF!</definedName>
    <definedName name="_328." localSheetId="0">'[2]תקבולים מפורט'!#REF!</definedName>
    <definedName name="_328." localSheetId="15">'תקבולים מפורט'!#REF!</definedName>
    <definedName name="_328.">'תקבולים מפורט'!#REF!</definedName>
    <definedName name="_329.">'תקבולים מפורט'!$F$191</definedName>
    <definedName name="_33." localSheetId="0">'[1]תקבולים מפורט'!#REF!</definedName>
    <definedName name="_33." localSheetId="15">'תקבולים מפורט'!#REF!</definedName>
    <definedName name="_33." localSheetId="10">'תקבולים מפורט'!#REF!</definedName>
    <definedName name="_33.">'תקבולים מפורט'!#REF!</definedName>
    <definedName name="_34." localSheetId="0">'[1]תקבולים מפורט'!$F$181</definedName>
    <definedName name="_34.">'תקבולים מפורט'!$F$211</definedName>
    <definedName name="_341.">'תקבולים מפורט'!$F$212</definedName>
    <definedName name="_342.">'תקבולים מפורט'!$F$220</definedName>
    <definedName name="_343.">'תקבולים מפורט'!$F$235</definedName>
    <definedName name="_344.">'תקבולים מפורט'!$F$249</definedName>
    <definedName name="_345.">'תקבולים מפורט'!$F$270</definedName>
    <definedName name="_346.">'תקבולים מפורט'!$F$295</definedName>
    <definedName name="_347.">'תקבולים מפורט'!$F$323</definedName>
    <definedName name="_348.">'תקבולים מפורט'!$F$345</definedName>
    <definedName name="_349.">'תקבולים מפורט'!$F$352</definedName>
    <definedName name="_35." localSheetId="0">'[1]תקבולים מפורט'!#REF!</definedName>
    <definedName name="_35." localSheetId="15">'תקבולים מפורט'!#REF!</definedName>
    <definedName name="_35." localSheetId="10">'תקבולים מפורט'!#REF!</definedName>
    <definedName name="_35.">'תקבולים מפורט'!#REF!</definedName>
    <definedName name="_359." localSheetId="0">'[2]תקבולים מפורט'!#REF!</definedName>
    <definedName name="_359." localSheetId="15">'תקבולים מפורט'!#REF!</definedName>
    <definedName name="_359.">'תקבולים מפורט'!#REF!</definedName>
    <definedName name="_36." localSheetId="13">'תקבולים מפורט'!$F$363</definedName>
    <definedName name="_361.">'תקבולים מפורט'!$F$364</definedName>
    <definedName name="_369.">'תקבולים מפורט'!$F$367</definedName>
    <definedName name="_37.">'תקבולים מפורט'!$F$371</definedName>
    <definedName name="_379.">'תקבולים מפורט'!$F$371</definedName>
    <definedName name="_4." localSheetId="0">'[1]תקבולים מפורט'!$F$258</definedName>
    <definedName name="_4.">'תקבולים מפורט'!$F$377</definedName>
    <definedName name="_41." localSheetId="0">'[1]תקבולים מפורט'!$F$259</definedName>
    <definedName name="_41.">'תקבולים מפורט'!$F$378</definedName>
    <definedName name="_43." localSheetId="0">'[1]תקבולים מפורט'!$F$263</definedName>
    <definedName name="_43.">'תקבולים מפורט'!$F$383</definedName>
    <definedName name="_44." localSheetId="0">'[1]תקבולים מפורט'!$F$268</definedName>
    <definedName name="_44.">'תקבולים מפורט'!$F$388</definedName>
    <definedName name="_47." localSheetId="0">'[1]תקבולים מפורט'!$F$274</definedName>
    <definedName name="_47.">'תקבולים מפורט'!$F$393</definedName>
    <definedName name="_5." localSheetId="0">'[1]תקבולים מפורט'!$F$281</definedName>
    <definedName name="_5.">'תקבולים מפורט'!$F$399</definedName>
    <definedName name="_6." localSheetId="0">'[1]תשלומים מפורט'!$F$3</definedName>
    <definedName name="_6.">'תשלומים מפורט'!$F$3</definedName>
    <definedName name="_61." localSheetId="0">'[1]תשלומים מפורט'!$F$4</definedName>
    <definedName name="_61.">'תשלומים מפורט'!$F$4</definedName>
    <definedName name="_6111.">'תשלומים מפורט'!$F$5</definedName>
    <definedName name="_6112.">'תשלומים מפורט'!$F$11</definedName>
    <definedName name="_6113.">'תשלומים מפורט'!$F$28</definedName>
    <definedName name="_612.">'תשלומים מפורט'!$F$48</definedName>
    <definedName name="_6121.">'תשלומים מפורט'!$F$55</definedName>
    <definedName name="_613.">'תשלומים מפורט'!$F$61</definedName>
    <definedName name="_614.">'תשלומים מפורט'!$F$88</definedName>
    <definedName name="_615.">'תשלומים מפורט'!$F$101</definedName>
    <definedName name="_616.">'תשלומים מפורט'!$F$125</definedName>
    <definedName name="_617.">'תשלומים מפורט'!$F$142</definedName>
    <definedName name="_619." localSheetId="0">'[1]תשלומים מפורט'!#REF!</definedName>
    <definedName name="_619." localSheetId="15">'תשלומים מפורט'!#REF!</definedName>
    <definedName name="_619.">'תשלומים מפורט'!#REF!</definedName>
    <definedName name="_62." localSheetId="0">'[1]תשלומים מפורט'!$F$134</definedName>
    <definedName name="_62.">'תשלומים מפורט'!$F$157</definedName>
    <definedName name="_621.">'תשלומים מפורט'!$F$158</definedName>
    <definedName name="_623.">'תשלומים מפורט'!$F$174</definedName>
    <definedName name="_63." localSheetId="0">'[1]תשלומים מפורט'!$F$181</definedName>
    <definedName name="_63.">'תשלומים מפורט'!$F$198</definedName>
    <definedName name="_631.">'תשלומים מפורט'!$F$199</definedName>
    <definedName name="_632.">'תשלומים מפורט'!$F$202</definedName>
    <definedName name="_64." localSheetId="0">'[1]תשלומים מפורט'!$F$191</definedName>
    <definedName name="_64.">'תשלומים מפורט'!$F$208</definedName>
    <definedName name="_6481.">'תשלומים מפורט'!$F$209</definedName>
    <definedName name="_6482.">'תשלומים מפורט'!#REF!</definedName>
    <definedName name="_7." localSheetId="0">'[1]תשלומים מפורט'!$F$219</definedName>
    <definedName name="_7.">'תשלומים מפורט'!$F$231</definedName>
    <definedName name="_71." localSheetId="0">'[1]תשלומים מפורט'!$F$220</definedName>
    <definedName name="_71.">'תשלומים מפורט'!$F$232</definedName>
    <definedName name="_711.">'תשלומים מפורט'!$F$233</definedName>
    <definedName name="_712.">'תשלומים מפורט'!$F$246</definedName>
    <definedName name="_713.">'תשלומים מפורט'!$F$264</definedName>
    <definedName name="_714.">'תשלומים מפורט'!$F$270</definedName>
    <definedName name="_715.">'תשלומים מפורט'!$F$284</definedName>
    <definedName name="_72." localSheetId="0">'[1]תשלומים מפורט'!$F$275</definedName>
    <definedName name="_72.">'תשלומים מפורט'!$F$289</definedName>
    <definedName name="_721.">'תשלומים מפורט'!$F$290</definedName>
    <definedName name="_7221.">'תשלומים מפורט'!$F$309</definedName>
    <definedName name="_7227.">'תשלומים מפורט'!$F$317</definedName>
    <definedName name="_7228.">'תשלומים מפורט'!#REF!</definedName>
    <definedName name="_723.">'תשלומים מפורט'!$F$325</definedName>
    <definedName name="_724.">'תשלומים מפורט'!#REF!</definedName>
    <definedName name="_726.">'תשלומים מפורט'!$F$344</definedName>
    <definedName name="_73." localSheetId="0">'[1]תשלומים מפורט'!$F$330</definedName>
    <definedName name="_73.">'תשלומים מפורט'!$F$353</definedName>
    <definedName name="_731.">'תשלומים מפורט'!$F$354</definedName>
    <definedName name="_732.">'תשלומים מפורט'!$F$368</definedName>
    <definedName name="_7331.">'תשלומים מפורט'!$F$384</definedName>
    <definedName name="_7332.">'תשלומים מפורט'!$F$387</definedName>
    <definedName name="_734.">'תשלומים מפורט'!$F$393</definedName>
    <definedName name="_735.">'תשלומים מפורט'!#REF!</definedName>
    <definedName name="_74." localSheetId="0">'[1]תשלומים מפורט'!$F$369</definedName>
    <definedName name="_74.">'תשלומים מפורט'!$F$397</definedName>
    <definedName name="_742.">'תשלומים מפורט'!$F$398</definedName>
    <definedName name="_743.">'תשלומים מפורט'!$F$406</definedName>
    <definedName name="_744.">'תשלומים מפורט'!$F$413</definedName>
    <definedName name="_745.">'תשלומים מפורט'!$F$423</definedName>
    <definedName name="_746.">'תשלומים מפורט'!$F$428</definedName>
    <definedName name="_7461.">'תשלומים מפורט'!$F$448</definedName>
    <definedName name="_7472.">'תשלומים מפורט'!$F$470</definedName>
    <definedName name="_75." localSheetId="0">'[1]תשלומים מפורט'!$F$457</definedName>
    <definedName name="_75.">'תשלומים מפורט'!$F$489</definedName>
    <definedName name="_751.">'תשלומים מפורט'!$F$490</definedName>
    <definedName name="_752.">'תשלומים מפורט'!$F$498</definedName>
    <definedName name="_753.">'תשלומים מפורט'!$F$502</definedName>
    <definedName name="_754.">'תשלומים מפורט'!$F$507</definedName>
    <definedName name="_76." localSheetId="0">'[1]תשלומים מפורט'!$F$479</definedName>
    <definedName name="_76.">'תשלומים מפורט'!$F$513</definedName>
    <definedName name="_761.">'תשלומים מפורט'!$F$514</definedName>
    <definedName name="_7621.">'תשלומים מפורט'!$F$522</definedName>
    <definedName name="_764.">'תשלומים מפורט'!$F$525</definedName>
    <definedName name="_765.">'תשלומים מפורט'!$F$535</definedName>
    <definedName name="_766.">'תשלומים מפורט'!$F$543</definedName>
    <definedName name="_767.">'תשלומים מפורט'!$F$550</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1.">'תשלומים מפורט'!$F$556</definedName>
    <definedName name="_7692.">'תשלומים מפורט'!$F$563</definedName>
    <definedName name="_77.">'תשלומים מפורט'!$D$577</definedName>
    <definedName name="_771.">'תשלומים מפורט'!$D$578</definedName>
    <definedName name="_78." localSheetId="0">'[1]תשלומים מפורט'!$F$547</definedName>
    <definedName name="_78.">'תשלומים מפורט'!$F$589</definedName>
    <definedName name="_781.">'תשלומים מפורט'!$F$590</definedName>
    <definedName name="_782.">'תשלומים מפורט'!$F$603</definedName>
    <definedName name="_79." localSheetId="0">'[1]תשלומים מפורט'!$F$568</definedName>
    <definedName name="_79.">'תשלומים מפורט'!$F$608</definedName>
    <definedName name="_8." localSheetId="0">'[1]תשלומים מפורט'!$F$572</definedName>
    <definedName name="_8.">'תשלומים מפורט'!$F$612</definedName>
    <definedName name="_81." localSheetId="0">'[1]תשלומים מפורט'!$F$573</definedName>
    <definedName name="_81.">'תשלומים מפורט'!$F$613</definedName>
    <definedName name="_811.">'תשלומים מפורט'!$F$614</definedName>
    <definedName name="_8119.">'תשלומים מפורט'!$F$640</definedName>
    <definedName name="_812.">'תשלומים מפורט'!$F$644</definedName>
    <definedName name="_8121." localSheetId="15">'תשלומים מפורט'!#REF!</definedName>
    <definedName name="_8121.">'תשלומים מפורט'!#REF!</definedName>
    <definedName name="_8132.">'תשלומים מפורט'!$F$665</definedName>
    <definedName name="_81321.">'תשלומים מפורט'!$D$693</definedName>
    <definedName name="_81322.">'תשלומים מפורט'!$F$698</definedName>
    <definedName name="_8133.">'תשלומים מפורט'!$F$702</definedName>
    <definedName name="_8136.">'תשלומים מפורט'!$F$723</definedName>
    <definedName name="_813601.">'תשלומים מפורט'!$C$747:$D$747</definedName>
    <definedName name="_8138.">'תשלומים מפורט'!$F$751</definedName>
    <definedName name="_814.">'תשלומים מפורט'!$F$763</definedName>
    <definedName name="_8141.">'תשלומים מפורט'!$F$792</definedName>
    <definedName name="_8152.">'תשלומים מפורט'!$F$799</definedName>
    <definedName name="_81521.">'תשלומים מפורט'!$D$820</definedName>
    <definedName name="_8155." localSheetId="0">'[1]תשלומים מפורט'!#REF!</definedName>
    <definedName name="_8155." localSheetId="15">'תשלומים מפורט'!#REF!</definedName>
    <definedName name="_8155." localSheetId="10">'תשלומים מפורט'!#REF!</definedName>
    <definedName name="_8155.">'תשלומים מפורט'!#REF!</definedName>
    <definedName name="_8158." localSheetId="0">'[1]תשלומים מפורט'!#REF!</definedName>
    <definedName name="_8158." localSheetId="15">'תשלומים מפורט'!#REF!</definedName>
    <definedName name="_8158." localSheetId="10">'תשלומים מפורט'!#REF!</definedName>
    <definedName name="_8158.">'תשלומים מפורט'!#REF!</definedName>
    <definedName name="_8159.">'תשלומים מפורט'!$F$827</definedName>
    <definedName name="_8168.">'תשלומים מפורט'!$F$842</definedName>
    <definedName name="_8171.">'תשלומים מפורט'!$F$845</definedName>
    <definedName name="_8172.">'תשלומים מפורט'!$F$854</definedName>
    <definedName name="_81721.">'תשלומים מפורט'!$F$863</definedName>
    <definedName name="_8173.">'תשלומים מפורט'!$F$883</definedName>
    <definedName name="_8174." localSheetId="0">'[1]תשלומים מפורט'!#REF!</definedName>
    <definedName name="_8174." localSheetId="15">'תשלומים מפורט'!#REF!</definedName>
    <definedName name="_8174." localSheetId="10">'תשלומים מפורט'!#REF!</definedName>
    <definedName name="_8174.">'תשלומים מפורט'!#REF!</definedName>
    <definedName name="_81741.">'תשלומים מפורט'!$F$900</definedName>
    <definedName name="_8175.">'תשלומים מפורט'!$F$903</definedName>
    <definedName name="_8176." localSheetId="0">'[1]תשלומים מפורט'!#REF!</definedName>
    <definedName name="_8176." localSheetId="15">'תשלומים מפורט'!#REF!</definedName>
    <definedName name="_8176.">'תשלומים מפורט'!#REF!</definedName>
    <definedName name="_8177.">'תשלומים מפורט'!$F$906</definedName>
    <definedName name="_8178.">'תשלומים מפורט'!$F$909</definedName>
    <definedName name="_8179.">'תשלומים מפורט'!$F$917</definedName>
    <definedName name="_81791.">'תשלומים מפורט'!$F$935</definedName>
    <definedName name="_81792.">'תשלומים מפורט'!$F$939</definedName>
    <definedName name="_81793.">'תשלומים מפורט'!$F$952</definedName>
    <definedName name="_81795.">'תשלומים מפורט'!$F$958</definedName>
    <definedName name="_81796.">'תשלומים מפורט'!$F$961</definedName>
    <definedName name="_81797.">'תשלומים מפורט'!$F$985</definedName>
    <definedName name="_818.">'תשלומים מפורט'!$F$994</definedName>
    <definedName name="_82." localSheetId="0">'[1]תשלומים מפורט'!$F$917</definedName>
    <definedName name="_82.">'תשלומים מפורט'!$F$1002</definedName>
    <definedName name="_821.">'תשלומים מפורט'!$F$1003</definedName>
    <definedName name="_822.">'תשלומים מפורט'!$F$1013</definedName>
    <definedName name="_8221.">'תשלומים מפורט'!$F$1035</definedName>
    <definedName name="_823.">'תשלומים מפורט'!$F$1041</definedName>
    <definedName name="_8231.">'תשלומים מפורט'!$F$1061</definedName>
    <definedName name="_8232.">'תשלומים מפורט'!$F$1064</definedName>
    <definedName name="_8233.">'תשלומים מפורט'!$F$1068</definedName>
    <definedName name="_8234.">'תשלומים מפורט'!$F$1071</definedName>
    <definedName name="_8241.">'תשלומים מפורט'!$F$1079</definedName>
    <definedName name="_8242.">'תשלומים מפורט'!$F$1091</definedName>
    <definedName name="_8243.">'תשלומים מפורט'!$F$1098</definedName>
    <definedName name="_82451.">'תשלומים מפורט'!$F$1102</definedName>
    <definedName name="_82453.">'תשלומים מפורט'!$F$1114</definedName>
    <definedName name="_82454." localSheetId="0">'[1]תשלומים מפורט'!#REF!</definedName>
    <definedName name="_82454." localSheetId="15">'תשלומים מפורט'!#REF!</definedName>
    <definedName name="_82454." localSheetId="10">'תשלומים מפורט'!#REF!</definedName>
    <definedName name="_82454.">'תשלומים מפורט'!#REF!</definedName>
    <definedName name="_82455." localSheetId="0">'[1]תשלומים מפורט'!#REF!</definedName>
    <definedName name="_82455." localSheetId="15">'תשלומים מפורט'!#REF!</definedName>
    <definedName name="_82455." localSheetId="10">'תשלומים מפורט'!#REF!</definedName>
    <definedName name="_82455.">'תשלומים מפורט'!#REF!</definedName>
    <definedName name="_82456." localSheetId="0">'[1]תשלומים מפורט'!#REF!</definedName>
    <definedName name="_82456." localSheetId="15">'תשלומים מפורט'!#REF!</definedName>
    <definedName name="_82456." localSheetId="10">'תשלומים מפורט'!#REF!</definedName>
    <definedName name="_82456.">'תשלומים מפורט'!#REF!</definedName>
    <definedName name="_82457.">'תשלומים מפורט'!$F$1120</definedName>
    <definedName name="_82458." localSheetId="0">'[1]תשלומים מפורט'!#REF!</definedName>
    <definedName name="_82458." localSheetId="15">'תשלומים מפורט'!#REF!</definedName>
    <definedName name="_82458." localSheetId="10">'תשלומים מפורט'!#REF!</definedName>
    <definedName name="_82458.">'תשלומים מפורט'!#REF!</definedName>
    <definedName name="_8251.">'תשלומים מפורט'!$F$1128</definedName>
    <definedName name="_8252." localSheetId="0">'[2]תשלומים מפורט'!#REF!</definedName>
    <definedName name="_8252." localSheetId="15">'תשלומים מפורט'!#REF!</definedName>
    <definedName name="_8252.">'תשלומים מפורט'!#REF!</definedName>
    <definedName name="_8254.">'תשלומים מפורט'!$F$1138</definedName>
    <definedName name="_8261." localSheetId="0">'[1]תשלומים מפורט'!#REF!</definedName>
    <definedName name="_8261." localSheetId="15">'תשלומים מפורט'!#REF!</definedName>
    <definedName name="_8261.">'תשלומים מפורט'!#REF!</definedName>
    <definedName name="_82611." localSheetId="0">'[2]תשלומים מפורט'!#REF!</definedName>
    <definedName name="_82611." localSheetId="15">'תשלומים מפורט'!#REF!</definedName>
    <definedName name="_82611.">'תשלומים מפורט'!#REF!</definedName>
    <definedName name="_8262.">'תשלומים מפורט'!$F$1147</definedName>
    <definedName name="_82621.">'תשלומים מפורט'!$F$1152</definedName>
    <definedName name="_82625." localSheetId="0">'[1]תשלומים מפורט'!#REF!</definedName>
    <definedName name="_82625." localSheetId="15">'תשלומים מפורט'!#REF!</definedName>
    <definedName name="_82625." localSheetId="10">'תשלומים מפורט'!#REF!</definedName>
    <definedName name="_82625.">'תשלומים מפורט'!#REF!</definedName>
    <definedName name="_8264.">'תשלומים מפורט'!$F$1162</definedName>
    <definedName name="_82640.">'תשלומים מפורט'!$F$1162</definedName>
    <definedName name="_82641.">'תשלומים מפורט'!$F$1179</definedName>
    <definedName name="_82642.">'תשלומים מפורט'!#REF!</definedName>
    <definedName name="_82643." localSheetId="0">'[1]תשלומים מפורט'!#REF!</definedName>
    <definedName name="_82643." localSheetId="15">'תשלומים מפורט'!#REF!</definedName>
    <definedName name="_82643.">'תשלומים מפורט'!#REF!</definedName>
    <definedName name="_82644." localSheetId="0">'[1]תשלומים מפורט'!#REF!</definedName>
    <definedName name="_82644." localSheetId="15">'תשלומים מפורט'!#REF!</definedName>
    <definedName name="_82644.">'תשלומים מפורט'!#REF!</definedName>
    <definedName name="_827.">'תשלומים מפורט'!$F$1183</definedName>
    <definedName name="_8281.">'תשלומים מפורט'!$F$1191</definedName>
    <definedName name="_8282.">'תשלומים מפורט'!$F$1206</definedName>
    <definedName name="_8283." localSheetId="0">'[1]תשלומים מפורט'!#REF!</definedName>
    <definedName name="_8283." localSheetId="15">'תשלומים מפורט'!#REF!</definedName>
    <definedName name="_8283." localSheetId="10">'תשלומים מפורט'!#REF!</definedName>
    <definedName name="_8283.">'תשלומים מפורט'!#REF!</definedName>
    <definedName name="_82831." localSheetId="0">'[1]תשלומים מפורט'!#REF!</definedName>
    <definedName name="_82831." localSheetId="15">'תשלומים מפורט'!#REF!</definedName>
    <definedName name="_82831.">'תשלומים מפורט'!#REF!</definedName>
    <definedName name="_8284." localSheetId="0">'[1]תשלומים מפורט'!#REF!</definedName>
    <definedName name="_8284." localSheetId="15">'תשלומים מפורט'!#REF!</definedName>
    <definedName name="_8284." localSheetId="10">'תשלומים מפורט'!#REF!</definedName>
    <definedName name="_8284.">'תשלומים מפורט'!#REF!</definedName>
    <definedName name="_8285.">'תשלומים מפורט'!$F$985</definedName>
    <definedName name="_8287." localSheetId="0">'[1]תשלומים מפורט'!#REF!</definedName>
    <definedName name="_8287." localSheetId="15">'תשלומים מפורט'!#REF!</definedName>
    <definedName name="_8287." localSheetId="10">'תשלומים מפורט'!#REF!</definedName>
    <definedName name="_8287.">'תשלומים מפורט'!#REF!</definedName>
    <definedName name="_8289.">'תשלומים מפורט'!$F$1210</definedName>
    <definedName name="_8291.">'תשלומים מפורט'!$F$1218</definedName>
    <definedName name="_8292.">'תשלומים מפורט'!$F$1235</definedName>
    <definedName name="_82921.">'תשלומים מפורט'!$F$1246</definedName>
    <definedName name="_82922.">'תשלומים מפורט'!$F$1257</definedName>
    <definedName name="_82923.">'תשלומים מפורט'!$F$1263</definedName>
    <definedName name="_82924.">'תשלומים מפורט'!$F$1268</definedName>
    <definedName name="_82925.">'תשלומים מפורט'!$F$1286</definedName>
    <definedName name="_82929.">'תשלומים מפורט'!$F$1289</definedName>
    <definedName name="_82951.">'תשלומים מפורט'!#REF!</definedName>
    <definedName name="_82952." localSheetId="0">'[1]תשלומים מפורט'!#REF!</definedName>
    <definedName name="_82952." localSheetId="10">'תשלומים מפורט'!#REF!</definedName>
    <definedName name="_82952.">'תשלומים מפורט'!$F$1301</definedName>
    <definedName name="_82953.">'תשלומים מפורט'!$F$1304</definedName>
    <definedName name="_8299.">'תשלומים מפורט'!$F$1310</definedName>
    <definedName name="_82991.">'תשלומים מפורט'!$F$1314</definedName>
    <definedName name="_83." localSheetId="0">'[1]תשלומים מפורט'!$F$1234</definedName>
    <definedName name="_83.">'תשלומים מפורט'!$F$1327</definedName>
    <definedName name="_831.">'תשלומים מפורט'!$F$1328</definedName>
    <definedName name="_8321." localSheetId="0">'[1]תשלומים מפורט'!#REF!</definedName>
    <definedName name="_8321." localSheetId="15">'תשלומים מפורט'!#REF!</definedName>
    <definedName name="_8321." localSheetId="10">'תשלומים מפורט'!#REF!</definedName>
    <definedName name="_8321.">'תשלומים מפורט'!#REF!</definedName>
    <definedName name="_8322.">'תשלומים מפורט'!$F$1337</definedName>
    <definedName name="_8324." localSheetId="0">'[1]תשלומים מפורט'!#REF!</definedName>
    <definedName name="_8324." localSheetId="15">'תשלומים מפורט'!#REF!</definedName>
    <definedName name="_8324." localSheetId="10">'תשלומים מפורט'!#REF!</definedName>
    <definedName name="_8324.">'תשלומים מפורט'!#REF!</definedName>
    <definedName name="_8325.">'תשלומים מפורט'!$F$1343</definedName>
    <definedName name="_836.">'תשלומים מפורט'!$F$1349</definedName>
    <definedName name="_84." localSheetId="0">'[1]תשלומים מפורט'!$F$1265</definedName>
    <definedName name="_84.">'תשלומים מפורט'!$F$1353</definedName>
    <definedName name="_841.">'תשלומים מפורט'!$F$1354</definedName>
    <definedName name="_842.">'תשלומים מפורט'!$F$1381</definedName>
    <definedName name="_843.">'תשלומים מפורט'!$F$1402</definedName>
    <definedName name="_844.">'תשלומים מפורט'!$F$1427</definedName>
    <definedName name="_845.">'תשלומים מפורט'!$F$1455</definedName>
    <definedName name="_846.">'תשלומים מפורט'!$F$1479</definedName>
    <definedName name="_8473." localSheetId="0">'[1]תשלומים מפורט'!#REF!</definedName>
    <definedName name="_8473." localSheetId="15">'תשלומים מפורט'!#REF!</definedName>
    <definedName name="_8473." localSheetId="10">'תשלומים מפורט'!#REF!</definedName>
    <definedName name="_8473.">'תשלומים מפורט'!#REF!</definedName>
    <definedName name="_8474.">'תשלומים מפורט'!$F$1508</definedName>
    <definedName name="_8475." localSheetId="15">'תשלומים מפורט'!#REF!</definedName>
    <definedName name="_8475.">'תשלומים מפורט'!#REF!</definedName>
    <definedName name="_848.">'תשלומים מפורט'!$F$1550</definedName>
    <definedName name="_8482." localSheetId="15">'תשלומים מפורט'!#REF!</definedName>
    <definedName name="_8482.">'תשלומים מפורט'!#REF!</definedName>
    <definedName name="_84829.">'תשלומים מפורט'!$F$1583</definedName>
    <definedName name="_8483." localSheetId="15">'תשלומים מפורט'!#REF!</definedName>
    <definedName name="_8483.">'תשלומים מפורט'!#REF!</definedName>
    <definedName name="_8484." localSheetId="15">'תשלומים מפורט'!#REF!</definedName>
    <definedName name="_8484.">'תשלומים מפורט'!#REF!</definedName>
    <definedName name="_8487." localSheetId="15">'תשלומים מפורט'!#REF!</definedName>
    <definedName name="_8487.">'תשלומים מפורט'!#REF!</definedName>
    <definedName name="_849.">'תשלומים מפורט'!$F$1588</definedName>
    <definedName name="_85." localSheetId="0">'[1]תשלומים מפורט'!$F$1412</definedName>
    <definedName name="_85.">'תשלומים מפורט'!$F$1597</definedName>
    <definedName name="_851.">'תשלומים מפורט'!$F$1598</definedName>
    <definedName name="_856.">'תשלומים מפורט'!$F$1601</definedName>
    <definedName name="_859." localSheetId="0">'[2]תשלומים מפורט'!#REF!</definedName>
    <definedName name="_859." localSheetId="15">'תשלומים מפורט'!#REF!</definedName>
    <definedName name="_859.">'תשלומים מפורט'!#REF!</definedName>
    <definedName name="_86." localSheetId="0">'[1]תשלומים מפורט'!$F$1428</definedName>
    <definedName name="_86.">'תשלומים מפורט'!$F$1610</definedName>
    <definedName name="_861.">'תשלומים מפורט'!$F$1611</definedName>
    <definedName name="_869.">'תשלומים מפורט'!$F$1615</definedName>
    <definedName name="_87." localSheetId="0">'[1]תשלומים מפורט'!$F$1443</definedName>
    <definedName name="_87.">'תשלומים מפורט'!$F$1625</definedName>
    <definedName name="_879.">'תשלומים מפורט'!$F$1625</definedName>
    <definedName name="_9." localSheetId="0">'[1]תשלומים מפורט'!$F$1458</definedName>
    <definedName name="_9.">'תשלומים מפורט'!$F$1642</definedName>
    <definedName name="_91." localSheetId="0">'[1]תשלומים מפורט'!$F$1459</definedName>
    <definedName name="_91.">'תשלומים מפורט'!$F$1643</definedName>
    <definedName name="_9131">'תשלומים מפורט'!$J$610</definedName>
    <definedName name="_9131." localSheetId="0">'[1]תשלומים מפורט'!#REF!</definedName>
    <definedName name="_9131." localSheetId="15">'תשלומים מפורט'!#REF!</definedName>
    <definedName name="_9131.">'תשלומים מפורט'!#REF!</definedName>
    <definedName name="_9132.">'תשלומים מפורט'!$F$1644</definedName>
    <definedName name="_93">'תשלומים מפורט'!$F$1648</definedName>
    <definedName name="_93." localSheetId="13">'תשלומים מפורט'!$F$1648</definedName>
    <definedName name="_933.">'תשלומים מפורט'!$F$1649</definedName>
    <definedName name="_9341." localSheetId="0">'[1]תשלומים מפורט'!#REF!</definedName>
    <definedName name="_9341." localSheetId="15">'תשלומים מפורט'!#REF!</definedName>
    <definedName name="_9341." localSheetId="10">'תשלומים מפורט'!#REF!</definedName>
    <definedName name="_9341.">'תשלומים מפורט'!#REF!</definedName>
    <definedName name="_9342." localSheetId="0">'[1]תשלומים מפורט'!#REF!</definedName>
    <definedName name="_9342." localSheetId="15">'תשלומים מפורט'!#REF!</definedName>
    <definedName name="_9342." localSheetId="10">'תשלומים מפורט'!#REF!</definedName>
    <definedName name="_9342.">'תשלומים מפורט'!#REF!</definedName>
    <definedName name="_9381.">'תשלומים מפורט'!$F$1664</definedName>
    <definedName name="_9382.">'תשלומים מפורט'!$F$1687</definedName>
    <definedName name="_9383.">'תשלומים מפורט'!$F$1693</definedName>
    <definedName name="_9384.">'תשלומים מפורט'!$F$1700</definedName>
    <definedName name="_94." localSheetId="0">'[1]תשלומים מפורט'!$F$1531</definedName>
    <definedName name="_94.">'תשלומים מפורט'!$F$1722</definedName>
    <definedName name="_943.">'תשלומים מפורט'!$F$1723</definedName>
    <definedName name="_97." localSheetId="0">'[1]תשלומים מפורט'!$F$1545</definedName>
    <definedName name="_97.">'תשלומים מפורט'!$F$1736</definedName>
    <definedName name="_971.">'תשלומים מפורט'!$D$1737</definedName>
    <definedName name="_972.">'תשלומים מפורט'!$F$1742</definedName>
    <definedName name="_973.">'תשלומים מפורט'!$F$1745</definedName>
    <definedName name="_99.">'תשלומים מפורט'!$F$1780</definedName>
    <definedName name="_991." localSheetId="0">'[1]תשלומים מפורט'!#REF!</definedName>
    <definedName name="_991." localSheetId="15">'תשלומים מפורט'!#REF!</definedName>
    <definedName name="_991." localSheetId="10">'תשלומים מפורט'!#REF!</definedName>
    <definedName name="_991.">'תשלומים מפורט'!#REF!</definedName>
    <definedName name="_993.">'תשלומים מפורט'!$F$1755</definedName>
    <definedName name="_994.">'תשלומים מפורט'!$F$1759</definedName>
    <definedName name="_995.">'תשלומים מפורט'!$F$1769</definedName>
    <definedName name="_996.">'תשלומים מפורט'!#REF!</definedName>
    <definedName name="_9972.">'תשלומים מפורט'!$F$1773</definedName>
    <definedName name="_xlnm._FilterDatabase" localSheetId="15" hidden="1">'נספח כח-אדם'!$A$2:$O$250</definedName>
    <definedName name="_xlnm._FilterDatabase" localSheetId="9" hidden="1">'תמיכות והקצבות'!$A$7:$F$103</definedName>
    <definedName name="_xlnm._FilterDatabase" localSheetId="12" hidden="1">'תקבולים מפורט'!$A$2:$T$413</definedName>
    <definedName name="_xlnm._FilterDatabase" localSheetId="13" hidden="1">'תשלומים מפורט'!$A$2:$Z$1782</definedName>
    <definedName name="_xlnm.Criteria" localSheetId="12">'תקבולים מפורט'!#REF!</definedName>
    <definedName name="_xlnm.Criteria" localSheetId="13">'תשלומים מפורט'!#REF!</definedName>
    <definedName name="data">'תשלומים מפורט'!$C$2:$J$1782</definedName>
    <definedName name="_xlnm.Extract" localSheetId="12">'תקבולים מפורט'!#REF!</definedName>
    <definedName name="_xlnm.Extract" localSheetId="13">'תשלומים מפורט'!#REF!</definedName>
    <definedName name="_xlnm.Print_Area" localSheetId="0">'דף שער'!$A$1:$G$30</definedName>
    <definedName name="_xlnm.Print_Area" localSheetId="4">'הסבר לתשלומים'!$A$1:$B$33</definedName>
    <definedName name="_xlnm.Print_Area" localSheetId="5">יחידתי!$A$10:$K$65</definedName>
    <definedName name="_xlnm.Print_Area" localSheetId="7">'יתר-ממשלה'!$A$1:$H$19</definedName>
    <definedName name="_xlnm.Print_Area" localSheetId="15">'נספח כח-אדם'!$A$1:$O$251</definedName>
    <definedName name="_xlnm.Print_Area" localSheetId="2">סעיפים!$A$1:$L$99</definedName>
    <definedName name="_xlnm.Print_Area" localSheetId="6">עצמיות!$A$1:$G$45</definedName>
    <definedName name="_xlnm.Print_Area" localSheetId="9">'תמיכות והקצבות'!$A$1:$F$103</definedName>
    <definedName name="_xlnm.Print_Area" localSheetId="10">'תמצית תקציב הועדה המרחבית'!$A$1:$D$28</definedName>
    <definedName name="_xlnm.Print_Area" localSheetId="12">'תקבולים מפורט'!$C$1:$K$416</definedName>
    <definedName name="_xlnm.Print_Area" localSheetId="11">'תקן-משרות'!$A$1:$G$23</definedName>
    <definedName name="_xlnm.Print_Area" localSheetId="13">'תשלומים מפורט'!$C$1:$N$1784</definedName>
    <definedName name="_xlnm.Print_Titles" localSheetId="14">'מפתח אגפי'!$1:$2</definedName>
    <definedName name="_xlnm.Print_Titles" localSheetId="15">'נספח כח-אדם'!$1:$2</definedName>
    <definedName name="_xlnm.Print_Titles" localSheetId="6">עצמיות!$1:$5</definedName>
    <definedName name="_xlnm.Print_Titles" localSheetId="1">תוכן!$1:$3</definedName>
    <definedName name="_xlnm.Print_Titles" localSheetId="9">'תמיכות והקצבות'!$4:$7</definedName>
    <definedName name="_xlnm.Print_Titles" localSheetId="12">'תקבולים מפורט'!$1:$2</definedName>
    <definedName name="_xlnm.Print_Titles" localSheetId="13">'תשלומים מפורט'!$1:$2</definedName>
    <definedName name="מרכז_הספורט_החדש">'תשלומים מפורט'!$E$1301</definedName>
    <definedName name="שרותי_דת_שונים" localSheetId="0">'[2]תשלומים מפורט'!#REF!</definedName>
    <definedName name="שרותי_דת_שונים" localSheetId="15">'תשלומים מפורט'!#REF!</definedName>
    <definedName name="שרותי_דת_שונים">'תשלומים מפורט'!#REF!</definedName>
  </definedNames>
  <calcPr calcId="162913" fullCalcOnLoad="1"/>
  <fileRecoveryPr autoRecover="0"/>
</workbook>
</file>

<file path=xl/calcChain.xml><?xml version="1.0" encoding="utf-8"?>
<calcChain xmlns="http://schemas.openxmlformats.org/spreadsheetml/2006/main">
  <c r="D78" i="9" l="1"/>
  <c r="D77" i="9"/>
  <c r="J537" i="13"/>
  <c r="J1774" i="13"/>
  <c r="J1760" i="13"/>
  <c r="J641" i="13"/>
  <c r="H750" i="13"/>
  <c r="G750" i="13"/>
  <c r="H746" i="13"/>
  <c r="G746" i="13"/>
  <c r="N746" i="13"/>
  <c r="M746" i="13"/>
  <c r="L746" i="13"/>
  <c r="K746" i="13"/>
  <c r="J746" i="13"/>
  <c r="K750" i="13"/>
  <c r="J750" i="13"/>
  <c r="J44" i="13"/>
  <c r="K249" i="29"/>
  <c r="O249" i="29"/>
  <c r="N249" i="29"/>
  <c r="M249" i="29"/>
  <c r="L249" i="29"/>
  <c r="I249" i="29"/>
  <c r="H249" i="29"/>
  <c r="G249" i="29"/>
  <c r="F248" i="29"/>
  <c r="F247" i="29"/>
  <c r="F246" i="29"/>
  <c r="F245" i="29"/>
  <c r="F244" i="29"/>
  <c r="F243" i="29"/>
  <c r="F242" i="29"/>
  <c r="F241" i="29"/>
  <c r="F240" i="29"/>
  <c r="F239" i="29"/>
  <c r="F238" i="29"/>
  <c r="F237" i="29"/>
  <c r="F236" i="29"/>
  <c r="F235" i="29"/>
  <c r="F234" i="29"/>
  <c r="F233" i="29"/>
  <c r="F232" i="29"/>
  <c r="F231" i="29"/>
  <c r="F230" i="29"/>
  <c r="F229" i="29"/>
  <c r="F228" i="29"/>
  <c r="F227" i="29"/>
  <c r="F226" i="29"/>
  <c r="F225"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7" i="29"/>
  <c r="F196" i="29"/>
  <c r="F195" i="29"/>
  <c r="F194" i="29"/>
  <c r="F193" i="29"/>
  <c r="F192" i="29"/>
  <c r="F191" i="29"/>
  <c r="F190" i="29"/>
  <c r="F189" i="29"/>
  <c r="F188" i="29"/>
  <c r="F187" i="29"/>
  <c r="F186" i="29"/>
  <c r="F185" i="29"/>
  <c r="F184" i="29"/>
  <c r="F183" i="29"/>
  <c r="F182" i="29"/>
  <c r="F181" i="29"/>
  <c r="F180" i="29"/>
  <c r="F179" i="29"/>
  <c r="F178" i="29"/>
  <c r="F177" i="29"/>
  <c r="F176" i="29"/>
  <c r="F175" i="29"/>
  <c r="F174" i="29"/>
  <c r="F173" i="29"/>
  <c r="F172" i="29"/>
  <c r="F171" i="29"/>
  <c r="F170" i="29"/>
  <c r="F169" i="29"/>
  <c r="F168" i="29"/>
  <c r="F167" i="29"/>
  <c r="F166" i="29"/>
  <c r="F165" i="29"/>
  <c r="F164" i="29"/>
  <c r="F163" i="29"/>
  <c r="F162" i="29"/>
  <c r="F161" i="29"/>
  <c r="F160" i="29"/>
  <c r="F159" i="29"/>
  <c r="F158" i="29"/>
  <c r="F157" i="29"/>
  <c r="F156" i="29"/>
  <c r="F155" i="29"/>
  <c r="F154" i="29"/>
  <c r="F153" i="29"/>
  <c r="F152" i="29"/>
  <c r="F151" i="29"/>
  <c r="F150" i="29"/>
  <c r="F149" i="29"/>
  <c r="F148" i="29"/>
  <c r="F147" i="29"/>
  <c r="F146" i="29"/>
  <c r="F145" i="29"/>
  <c r="F144" i="29"/>
  <c r="F143" i="29"/>
  <c r="F142" i="29"/>
  <c r="F141" i="29"/>
  <c r="F140" i="29"/>
  <c r="F139" i="29"/>
  <c r="F138" i="29"/>
  <c r="F137" i="29"/>
  <c r="F136" i="29"/>
  <c r="F135" i="29"/>
  <c r="F134" i="29"/>
  <c r="F133"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1"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F4" i="29"/>
  <c r="F3" i="29"/>
  <c r="G412" i="12"/>
  <c r="G404" i="12"/>
  <c r="J1757" i="13"/>
  <c r="J642" i="13"/>
  <c r="J629" i="13"/>
  <c r="J991" i="13"/>
  <c r="J1820" i="5"/>
  <c r="C7" i="8"/>
  <c r="E13" i="11"/>
  <c r="E12" i="11"/>
  <c r="F22" i="11"/>
  <c r="E14" i="11"/>
  <c r="E100" i="10"/>
  <c r="F100" i="10"/>
  <c r="E43" i="7"/>
  <c r="D43" i="7"/>
  <c r="C43" i="7"/>
  <c r="B43" i="7"/>
  <c r="B41" i="7"/>
  <c r="C41" i="7"/>
  <c r="D41" i="7"/>
  <c r="E41" i="7"/>
  <c r="B42" i="7"/>
  <c r="C42" i="7"/>
  <c r="D42" i="7"/>
  <c r="E42" i="7"/>
  <c r="E28" i="7"/>
  <c r="D28" i="7"/>
  <c r="C28" i="7"/>
  <c r="B28" i="7"/>
  <c r="E12" i="7"/>
  <c r="D12" i="7"/>
  <c r="C12" i="7"/>
  <c r="B12" i="7"/>
  <c r="B10" i="6"/>
  <c r="H17" i="6"/>
  <c r="D19" i="6"/>
  <c r="F19" i="6"/>
  <c r="H19" i="6"/>
  <c r="I19" i="6"/>
  <c r="D20" i="6"/>
  <c r="H21" i="6"/>
  <c r="H22" i="6"/>
  <c r="H26" i="6"/>
  <c r="H27" i="6"/>
  <c r="D28" i="6"/>
  <c r="F28" i="6"/>
  <c r="H28" i="6"/>
  <c r="D29" i="6"/>
  <c r="B36" i="6"/>
  <c r="J1819" i="6"/>
  <c r="B1" i="3"/>
  <c r="J1764" i="13"/>
  <c r="J1202" i="13"/>
  <c r="J1187" i="13"/>
  <c r="J1031" i="13"/>
  <c r="J1030" i="13"/>
  <c r="J1029" i="13"/>
  <c r="J1027" i="13"/>
  <c r="J1026" i="13"/>
  <c r="J1025" i="13"/>
  <c r="J1024" i="13"/>
  <c r="J1023" i="13"/>
  <c r="J1022" i="13"/>
  <c r="J1021" i="13"/>
  <c r="J496" i="13"/>
  <c r="J494" i="13"/>
  <c r="J493" i="13"/>
  <c r="J1450" i="13"/>
  <c r="J1355" i="13"/>
  <c r="J728" i="13"/>
  <c r="J126" i="13"/>
  <c r="J141" i="13"/>
  <c r="J598" i="13"/>
  <c r="F20" i="6"/>
  <c r="J597" i="13"/>
  <c r="J300" i="13"/>
  <c r="J253" i="13"/>
  <c r="J1621" i="13"/>
  <c r="J1318" i="13"/>
  <c r="J1324" i="13"/>
  <c r="J1311" i="13"/>
  <c r="J1313" i="13"/>
  <c r="J62" i="13"/>
  <c r="J73" i="13"/>
  <c r="J946" i="13"/>
  <c r="K921" i="13"/>
  <c r="K919" i="13"/>
  <c r="K918" i="13"/>
  <c r="J211" i="13"/>
  <c r="J210" i="13"/>
  <c r="J213" i="13"/>
  <c r="J229" i="13"/>
  <c r="J671" i="13"/>
  <c r="J650" i="13"/>
  <c r="J947" i="13"/>
  <c r="J913" i="13"/>
  <c r="J912" i="13"/>
  <c r="J911" i="13"/>
  <c r="J881" i="13"/>
  <c r="J865" i="13"/>
  <c r="J838" i="13"/>
  <c r="J824" i="13"/>
  <c r="J811" i="13"/>
  <c r="J789" i="13"/>
  <c r="J775" i="13"/>
  <c r="J677" i="13"/>
  <c r="J619" i="13"/>
  <c r="J616" i="13"/>
  <c r="G155" i="12"/>
  <c r="G148" i="12"/>
  <c r="J1561" i="13"/>
  <c r="J1559" i="13"/>
  <c r="J1490" i="13"/>
  <c r="J1507" i="13"/>
  <c r="J1441" i="13"/>
  <c r="J1412" i="13"/>
  <c r="J1426" i="13"/>
  <c r="J1387" i="13"/>
  <c r="J1384" i="13"/>
  <c r="J1575" i="13"/>
  <c r="J1557" i="13"/>
  <c r="J1528" i="13"/>
  <c r="J1513" i="13"/>
  <c r="J1510" i="13"/>
  <c r="J1435" i="13"/>
  <c r="J1399" i="13"/>
  <c r="J1396" i="13"/>
  <c r="J887" i="13"/>
  <c r="J870" i="13"/>
  <c r="J815" i="13"/>
  <c r="J804" i="13"/>
  <c r="J779" i="13"/>
  <c r="J771" i="13"/>
  <c r="J770" i="13"/>
  <c r="J738" i="13"/>
  <c r="J733" i="13"/>
  <c r="J732" i="13"/>
  <c r="J721" i="13"/>
  <c r="J709" i="13"/>
  <c r="J683" i="13"/>
  <c r="J673" i="13"/>
  <c r="J672" i="13"/>
  <c r="J662" i="13"/>
  <c r="J661" i="13"/>
  <c r="J651" i="13"/>
  <c r="J620" i="13"/>
  <c r="G115" i="12"/>
  <c r="G88" i="12"/>
  <c r="J1650" i="13"/>
  <c r="J175" i="13"/>
  <c r="J159" i="13"/>
  <c r="J321" i="13"/>
  <c r="J83" i="13"/>
  <c r="J82" i="13"/>
  <c r="J1020" i="13"/>
  <c r="J492" i="13"/>
  <c r="J1223" i="13"/>
  <c r="J1017" i="13"/>
  <c r="J1016" i="13"/>
  <c r="J491" i="13"/>
  <c r="J500" i="13"/>
  <c r="J499" i="13"/>
  <c r="J79" i="13"/>
  <c r="J1227" i="13"/>
  <c r="J1226" i="13"/>
  <c r="J1225" i="13"/>
  <c r="J1234" i="13"/>
  <c r="G385" i="12"/>
  <c r="H385" i="12"/>
  <c r="J690" i="13"/>
  <c r="J152" i="13"/>
  <c r="J254" i="13"/>
  <c r="J445" i="13"/>
  <c r="H18" i="6"/>
  <c r="J438" i="13"/>
  <c r="J95" i="13"/>
  <c r="K1774" i="13"/>
  <c r="K1776" i="13"/>
  <c r="J1776" i="13"/>
  <c r="K641" i="13"/>
  <c r="J6" i="13"/>
  <c r="J415" i="13"/>
  <c r="J422" i="13"/>
  <c r="J1719" i="13"/>
  <c r="J1720" i="13"/>
  <c r="J1718" i="13"/>
  <c r="J1698" i="13"/>
  <c r="J465" i="13"/>
  <c r="J468" i="13"/>
  <c r="J469" i="13"/>
  <c r="J460" i="13"/>
  <c r="J404" i="13"/>
  <c r="J1032" i="13"/>
  <c r="J1019" i="13"/>
  <c r="J495" i="13"/>
  <c r="J1192" i="13"/>
  <c r="J1042" i="13"/>
  <c r="J1014" i="13"/>
  <c r="J1004" i="13"/>
  <c r="J1626" i="13"/>
  <c r="J1640" i="13"/>
  <c r="J471" i="13"/>
  <c r="D21" i="6"/>
  <c r="J318" i="13"/>
  <c r="J319" i="13"/>
  <c r="J1347" i="13"/>
  <c r="J1341" i="13"/>
  <c r="J1342" i="13"/>
  <c r="J1332" i="13"/>
  <c r="J850" i="13"/>
  <c r="J853" i="13"/>
  <c r="J1105" i="13"/>
  <c r="J340" i="13"/>
  <c r="J291" i="13"/>
  <c r="J1103" i="13"/>
  <c r="J1344" i="13"/>
  <c r="J1329" i="13"/>
  <c r="J703" i="13"/>
  <c r="F23" i="6"/>
  <c r="J249" i="13"/>
  <c r="F18" i="6"/>
  <c r="J247" i="13"/>
  <c r="J263" i="13"/>
  <c r="J176" i="13"/>
  <c r="J29" i="13"/>
  <c r="J47" i="13"/>
  <c r="J12" i="13"/>
  <c r="D19" i="17"/>
  <c r="D18" i="17"/>
  <c r="C19" i="17"/>
  <c r="C18" i="17"/>
  <c r="D20" i="17"/>
  <c r="N1689" i="13"/>
  <c r="N1692" i="13"/>
  <c r="N1477" i="13"/>
  <c r="N1475" i="13"/>
  <c r="N1478" i="13"/>
  <c r="F22" i="6"/>
  <c r="J1761" i="13"/>
  <c r="D22" i="6"/>
  <c r="J1616" i="13"/>
  <c r="K1616" i="13"/>
  <c r="K1623" i="13"/>
  <c r="K642" i="13"/>
  <c r="E17" i="3"/>
  <c r="J1378" i="13"/>
  <c r="D25" i="6"/>
  <c r="J1380" i="13"/>
  <c r="K1378" i="13"/>
  <c r="K1380" i="13"/>
  <c r="K263" i="13"/>
  <c r="J511" i="13"/>
  <c r="K511" i="13"/>
  <c r="J283" i="13"/>
  <c r="K283" i="13"/>
  <c r="K722" i="13"/>
  <c r="K692" i="13"/>
  <c r="K664" i="13"/>
  <c r="K639" i="13"/>
  <c r="L692" i="13"/>
  <c r="N343" i="13"/>
  <c r="M343" i="13"/>
  <c r="L343" i="13"/>
  <c r="K343" i="13"/>
  <c r="H343" i="13"/>
  <c r="G343" i="13"/>
  <c r="L1770" i="13"/>
  <c r="L1772" i="13"/>
  <c r="M1770" i="13"/>
  <c r="M1772" i="13"/>
  <c r="N1772" i="13"/>
  <c r="K1772" i="13"/>
  <c r="J1772" i="13"/>
  <c r="I77" i="12"/>
  <c r="F14" i="9"/>
  <c r="I52" i="12"/>
  <c r="N884" i="13"/>
  <c r="H17" i="3"/>
  <c r="N283" i="13"/>
  <c r="M283" i="13"/>
  <c r="K185" i="12"/>
  <c r="J185" i="12"/>
  <c r="I185" i="12"/>
  <c r="H185" i="12"/>
  <c r="G185" i="12"/>
  <c r="H40" i="12"/>
  <c r="E10" i="9"/>
  <c r="I40" i="12"/>
  <c r="F10" i="9"/>
  <c r="J40" i="12"/>
  <c r="G10" i="9"/>
  <c r="G40" i="12"/>
  <c r="D10" i="9"/>
  <c r="D85" i="9"/>
  <c r="K40" i="12"/>
  <c r="H10" i="9"/>
  <c r="K52" i="12"/>
  <c r="H11" i="9"/>
  <c r="H1063" i="13"/>
  <c r="G1063" i="13"/>
  <c r="H908" i="13"/>
  <c r="G908" i="13"/>
  <c r="H1478" i="13"/>
  <c r="G534" i="13"/>
  <c r="H534" i="13"/>
  <c r="H587" i="13"/>
  <c r="H588" i="13"/>
  <c r="H521" i="13"/>
  <c r="H487" i="13"/>
  <c r="H412" i="13"/>
  <c r="H405" i="13"/>
  <c r="H392" i="13"/>
  <c r="H386" i="13"/>
  <c r="H378" i="13"/>
  <c r="H396" i="13"/>
  <c r="H308" i="13"/>
  <c r="H263" i="13"/>
  <c r="H245" i="13"/>
  <c r="H196" i="13"/>
  <c r="H47" i="13"/>
  <c r="G10" i="13"/>
  <c r="G27" i="13"/>
  <c r="G47" i="13"/>
  <c r="G54" i="13"/>
  <c r="G60" i="13"/>
  <c r="G73" i="13"/>
  <c r="G87" i="13"/>
  <c r="G100" i="13"/>
  <c r="G124" i="13"/>
  <c r="G141" i="13"/>
  <c r="G155" i="13"/>
  <c r="G173" i="13"/>
  <c r="G196" i="13"/>
  <c r="G201" i="13"/>
  <c r="G207" i="13"/>
  <c r="G206" i="13"/>
  <c r="G213" i="13"/>
  <c r="G218" i="13"/>
  <c r="G223" i="13"/>
  <c r="G228" i="13"/>
  <c r="G245" i="13"/>
  <c r="G263" i="13"/>
  <c r="G269" i="13"/>
  <c r="G283" i="13"/>
  <c r="G287" i="13"/>
  <c r="G308" i="13"/>
  <c r="G316" i="13"/>
  <c r="G324" i="13"/>
  <c r="G338" i="13"/>
  <c r="G351" i="13"/>
  <c r="G367" i="13"/>
  <c r="G378" i="13"/>
  <c r="G383" i="13"/>
  <c r="G396" i="13"/>
  <c r="G386" i="13"/>
  <c r="G392" i="13"/>
  <c r="G395" i="13"/>
  <c r="G405" i="13"/>
  <c r="G412" i="13"/>
  <c r="G422" i="13"/>
  <c r="G427" i="13"/>
  <c r="G447" i="13"/>
  <c r="G469" i="13"/>
  <c r="G487" i="13"/>
  <c r="G497" i="13"/>
  <c r="G501" i="13"/>
  <c r="G506" i="13"/>
  <c r="G511" i="13"/>
  <c r="G521" i="13"/>
  <c r="G524" i="13"/>
  <c r="G576" i="13"/>
  <c r="G542" i="13"/>
  <c r="G549" i="13"/>
  <c r="G555" i="13"/>
  <c r="G562" i="13"/>
  <c r="G575" i="13"/>
  <c r="G587" i="13"/>
  <c r="G588" i="13"/>
  <c r="G602" i="13"/>
  <c r="G606" i="13"/>
  <c r="G610" i="13"/>
  <c r="G639" i="13"/>
  <c r="G643" i="13"/>
  <c r="G664" i="13"/>
  <c r="G692" i="13"/>
  <c r="G697" i="13"/>
  <c r="G701" i="13"/>
  <c r="G722" i="13"/>
  <c r="G762" i="13"/>
  <c r="G785" i="13"/>
  <c r="G791" i="13"/>
  <c r="G798" i="13"/>
  <c r="G819" i="13"/>
  <c r="G826" i="13"/>
  <c r="G841" i="13"/>
  <c r="G844" i="13"/>
  <c r="G853" i="13"/>
  <c r="G862" i="13"/>
  <c r="G882" i="13"/>
  <c r="G899" i="13"/>
  <c r="G902" i="13"/>
  <c r="G905" i="13"/>
  <c r="G916" i="13"/>
  <c r="G934" i="13"/>
  <c r="G938" i="13"/>
  <c r="G951" i="13"/>
  <c r="G957" i="13"/>
  <c r="G960" i="13"/>
  <c r="G984" i="13"/>
  <c r="G993" i="13"/>
  <c r="G1000" i="13"/>
  <c r="G1012" i="13"/>
  <c r="G1190" i="13"/>
  <c r="G1034" i="13"/>
  <c r="G1040" i="13"/>
  <c r="G1060" i="13"/>
  <c r="G1067" i="13"/>
  <c r="G1070" i="13"/>
  <c r="G1075" i="13"/>
  <c r="G1078" i="13"/>
  <c r="G1090" i="13"/>
  <c r="G1097" i="13"/>
  <c r="G1101" i="13"/>
  <c r="G1106" i="13"/>
  <c r="G1113" i="13"/>
  <c r="G1119" i="13"/>
  <c r="G1124" i="13"/>
  <c r="G1127" i="13"/>
  <c r="G1137" i="13"/>
  <c r="G1146" i="13"/>
  <c r="G1151" i="13"/>
  <c r="G1161" i="13"/>
  <c r="G1178" i="13"/>
  <c r="G1182" i="13"/>
  <c r="G1189" i="13"/>
  <c r="G1205" i="13"/>
  <c r="G1209" i="13"/>
  <c r="G1216" i="13"/>
  <c r="G1234" i="13"/>
  <c r="G1245" i="13"/>
  <c r="G1256" i="13"/>
  <c r="G1262" i="13"/>
  <c r="G1267" i="13"/>
  <c r="G1285" i="13"/>
  <c r="G1288" i="13"/>
  <c r="G1300" i="13"/>
  <c r="G1303" i="13"/>
  <c r="G1309" i="13"/>
  <c r="G1313" i="13"/>
  <c r="G1324" i="13"/>
  <c r="G1336" i="13"/>
  <c r="G1342" i="13"/>
  <c r="G1348" i="13"/>
  <c r="G1351" i="13"/>
  <c r="G1376" i="13"/>
  <c r="G1380" i="13"/>
  <c r="G1401" i="13"/>
  <c r="G1426" i="13"/>
  <c r="G1454" i="13"/>
  <c r="G1478" i="13"/>
  <c r="G1507" i="13"/>
  <c r="G1530" i="13"/>
  <c r="G1549" i="13"/>
  <c r="G1577" i="13"/>
  <c r="G1582" i="13"/>
  <c r="G1587" i="13"/>
  <c r="G1595" i="13"/>
  <c r="G1600" i="13"/>
  <c r="G1604" i="13"/>
  <c r="G1614" i="13"/>
  <c r="G1623" i="13"/>
  <c r="G1624" i="13"/>
  <c r="G1640" i="13"/>
  <c r="G1646" i="13"/>
  <c r="G1647" i="13"/>
  <c r="G1663" i="13"/>
  <c r="G1686" i="13"/>
  <c r="G1692" i="13"/>
  <c r="G1699" i="13"/>
  <c r="G1720" i="13"/>
  <c r="G1734" i="13"/>
  <c r="G1735" i="13"/>
  <c r="G1741" i="13"/>
  <c r="G1744" i="13"/>
  <c r="G1748" i="13"/>
  <c r="G1754" i="13"/>
  <c r="G1758" i="13"/>
  <c r="G1768" i="13"/>
  <c r="G1772" i="13"/>
  <c r="G1776" i="13"/>
  <c r="H1776" i="13"/>
  <c r="H1772" i="13"/>
  <c r="H1768" i="13"/>
  <c r="H1758" i="13"/>
  <c r="H1754" i="13"/>
  <c r="H1748" i="13"/>
  <c r="H1744" i="13"/>
  <c r="H1741" i="13"/>
  <c r="H1749" i="13"/>
  <c r="H1734" i="13"/>
  <c r="H1735" i="13"/>
  <c r="H1720" i="13"/>
  <c r="H1699" i="13"/>
  <c r="H1692" i="13"/>
  <c r="H1686" i="13"/>
  <c r="H1663" i="13"/>
  <c r="H1646" i="13"/>
  <c r="H1647" i="13"/>
  <c r="H1640" i="13"/>
  <c r="H1623" i="13"/>
  <c r="H1614" i="13"/>
  <c r="H1604" i="13"/>
  <c r="H1609" i="13"/>
  <c r="H1600" i="13"/>
  <c r="H1595" i="13"/>
  <c r="H1587" i="13"/>
  <c r="H1582" i="13"/>
  <c r="H1577" i="13"/>
  <c r="H1549" i="13"/>
  <c r="H1530" i="13"/>
  <c r="H1507" i="13"/>
  <c r="H1454" i="13"/>
  <c r="H1426" i="13"/>
  <c r="H1401" i="13"/>
  <c r="H1380" i="13"/>
  <c r="H1376" i="13"/>
  <c r="H1351" i="13"/>
  <c r="H1348" i="13"/>
  <c r="H1342" i="13"/>
  <c r="H1336" i="13"/>
  <c r="H1324" i="13"/>
  <c r="H1313" i="13"/>
  <c r="H1309" i="13"/>
  <c r="H1303" i="13"/>
  <c r="H1300" i="13"/>
  <c r="H1288" i="13"/>
  <c r="H1285" i="13"/>
  <c r="H1267" i="13"/>
  <c r="H1262" i="13"/>
  <c r="H1256" i="13"/>
  <c r="H1245" i="13"/>
  <c r="H1325" i="13"/>
  <c r="H1234" i="13"/>
  <c r="H1216" i="13"/>
  <c r="H1209" i="13"/>
  <c r="H1205" i="13"/>
  <c r="H1189" i="13"/>
  <c r="H1182" i="13"/>
  <c r="H1178" i="13"/>
  <c r="H1161" i="13"/>
  <c r="H1151" i="13"/>
  <c r="H1146" i="13"/>
  <c r="H1137" i="13"/>
  <c r="H1127" i="13"/>
  <c r="H1124" i="13"/>
  <c r="H1119" i="13"/>
  <c r="H1113" i="13"/>
  <c r="H1106" i="13"/>
  <c r="H1101" i="13"/>
  <c r="H1097" i="13"/>
  <c r="H1090" i="13"/>
  <c r="H1078" i="13"/>
  <c r="H1075" i="13"/>
  <c r="H1070" i="13"/>
  <c r="H1067" i="13"/>
  <c r="H1060" i="13"/>
  <c r="H1040" i="13"/>
  <c r="H1034" i="13"/>
  <c r="H1012" i="13"/>
  <c r="H1000" i="13"/>
  <c r="H993" i="13"/>
  <c r="H984" i="13"/>
  <c r="H960" i="13"/>
  <c r="H957" i="13"/>
  <c r="H951" i="13"/>
  <c r="H938" i="13"/>
  <c r="H934" i="13"/>
  <c r="H916" i="13"/>
  <c r="H905" i="13"/>
  <c r="H902" i="13"/>
  <c r="H899" i="13"/>
  <c r="H882" i="13"/>
  <c r="H862" i="13"/>
  <c r="H853" i="13"/>
  <c r="H844" i="13"/>
  <c r="H841" i="13"/>
  <c r="H826" i="13"/>
  <c r="H819" i="13"/>
  <c r="H798" i="13"/>
  <c r="H791" i="13"/>
  <c r="H785" i="13"/>
  <c r="H762" i="13"/>
  <c r="H722" i="13"/>
  <c r="H701" i="13"/>
  <c r="H697" i="13"/>
  <c r="H692" i="13"/>
  <c r="H664" i="13"/>
  <c r="H643" i="13"/>
  <c r="H639" i="13"/>
  <c r="H610" i="13"/>
  <c r="H606" i="13"/>
  <c r="H602" i="13"/>
  <c r="H607" i="13"/>
  <c r="H575" i="13"/>
  <c r="H562" i="13"/>
  <c r="H555" i="13"/>
  <c r="H549" i="13"/>
  <c r="H542" i="13"/>
  <c r="H524" i="13"/>
  <c r="H511" i="13"/>
  <c r="H506" i="13"/>
  <c r="H501" i="13"/>
  <c r="H497" i="13"/>
  <c r="H512" i="13"/>
  <c r="H469" i="13"/>
  <c r="H447" i="13"/>
  <c r="H488" i="13"/>
  <c r="H427" i="13"/>
  <c r="H422" i="13"/>
  <c r="H395" i="13"/>
  <c r="H383" i="13"/>
  <c r="H367" i="13"/>
  <c r="H351" i="13"/>
  <c r="H338" i="13"/>
  <c r="H324" i="13"/>
  <c r="H352" i="13"/>
  <c r="H316" i="13"/>
  <c r="H287" i="13"/>
  <c r="H283" i="13"/>
  <c r="H269" i="13"/>
  <c r="H228" i="13"/>
  <c r="H223" i="13"/>
  <c r="H218" i="13"/>
  <c r="H213" i="13"/>
  <c r="H229" i="13"/>
  <c r="H206" i="13"/>
  <c r="H201" i="13"/>
  <c r="H173" i="13"/>
  <c r="H197" i="13"/>
  <c r="H155" i="13"/>
  <c r="H141" i="13"/>
  <c r="H124" i="13"/>
  <c r="H100" i="13"/>
  <c r="H87" i="13"/>
  <c r="H73" i="13"/>
  <c r="H60" i="13"/>
  <c r="H54" i="13"/>
  <c r="H27" i="13"/>
  <c r="H10" i="13"/>
  <c r="L1768" i="13"/>
  <c r="G10" i="12"/>
  <c r="H10" i="12"/>
  <c r="H16" i="12"/>
  <c r="E5" i="9"/>
  <c r="M534" i="13"/>
  <c r="L534" i="13"/>
  <c r="N1587" i="13"/>
  <c r="M1779" i="13"/>
  <c r="M1776" i="13"/>
  <c r="M1768" i="13"/>
  <c r="M1758" i="13"/>
  <c r="M1754" i="13"/>
  <c r="M1748" i="13"/>
  <c r="M1744" i="13"/>
  <c r="M1741" i="13"/>
  <c r="M1749" i="13"/>
  <c r="G68" i="9"/>
  <c r="M1734" i="13"/>
  <c r="M1735" i="13"/>
  <c r="G67" i="9"/>
  <c r="M1720" i="13"/>
  <c r="M1699" i="13"/>
  <c r="M1692" i="13"/>
  <c r="M1686" i="13"/>
  <c r="M1663" i="13"/>
  <c r="M1646" i="13"/>
  <c r="M1647" i="13"/>
  <c r="G65" i="9"/>
  <c r="M1640" i="13"/>
  <c r="M1623" i="13"/>
  <c r="M1614" i="13"/>
  <c r="M1608" i="13"/>
  <c r="M1609" i="13"/>
  <c r="G60" i="9"/>
  <c r="M1604" i="13"/>
  <c r="M1600" i="13"/>
  <c r="M1595" i="13"/>
  <c r="M1587" i="13"/>
  <c r="M1582" i="13"/>
  <c r="M1577" i="13"/>
  <c r="M1549" i="13"/>
  <c r="M1530" i="13"/>
  <c r="M1507" i="13"/>
  <c r="M1478" i="13"/>
  <c r="M1454" i="13"/>
  <c r="M1426" i="13"/>
  <c r="M1401" i="13"/>
  <c r="M1380" i="13"/>
  <c r="M1357" i="13"/>
  <c r="M1376" i="13"/>
  <c r="M1596" i="13"/>
  <c r="G59" i="9"/>
  <c r="M1351" i="13"/>
  <c r="M1348" i="13"/>
  <c r="M1342" i="13"/>
  <c r="M1336" i="13"/>
  <c r="M1324" i="13"/>
  <c r="M1313" i="13"/>
  <c r="M1309" i="13"/>
  <c r="M1303" i="13"/>
  <c r="M1300" i="13"/>
  <c r="M1288" i="13"/>
  <c r="M1285" i="13"/>
  <c r="M1267" i="13"/>
  <c r="M1262" i="13"/>
  <c r="M1256" i="13"/>
  <c r="M1245" i="13"/>
  <c r="M1234" i="13"/>
  <c r="M1325" i="13"/>
  <c r="M1216" i="13"/>
  <c r="M1209" i="13"/>
  <c r="M1205" i="13"/>
  <c r="M1217" i="13"/>
  <c r="M1189" i="13"/>
  <c r="M1182" i="13"/>
  <c r="M1178" i="13"/>
  <c r="M1161" i="13"/>
  <c r="M1151" i="13"/>
  <c r="M1146" i="13"/>
  <c r="M1137" i="13"/>
  <c r="M1127" i="13"/>
  <c r="M1124" i="13"/>
  <c r="M1119" i="13"/>
  <c r="M1113" i="13"/>
  <c r="M1106" i="13"/>
  <c r="M1101" i="13"/>
  <c r="M1097" i="13"/>
  <c r="M1090" i="13"/>
  <c r="M1078" i="13"/>
  <c r="M1075" i="13"/>
  <c r="M1070" i="13"/>
  <c r="M1067" i="13"/>
  <c r="M1063" i="13"/>
  <c r="M1060" i="13"/>
  <c r="M1040" i="13"/>
  <c r="M1034" i="13"/>
  <c r="M1012" i="13"/>
  <c r="M1000" i="13"/>
  <c r="M993" i="13"/>
  <c r="M984" i="13"/>
  <c r="M960" i="13"/>
  <c r="M957" i="13"/>
  <c r="M951" i="13"/>
  <c r="M938" i="13"/>
  <c r="M934" i="13"/>
  <c r="M916" i="13"/>
  <c r="M908" i="13"/>
  <c r="M905" i="13"/>
  <c r="M902" i="13"/>
  <c r="M899" i="13"/>
  <c r="M882" i="13"/>
  <c r="M862" i="13"/>
  <c r="M853" i="13"/>
  <c r="M844" i="13"/>
  <c r="M841" i="13"/>
  <c r="M826" i="13"/>
  <c r="M819" i="13"/>
  <c r="M798" i="13"/>
  <c r="M791" i="13"/>
  <c r="M785" i="13"/>
  <c r="M762" i="13"/>
  <c r="M750" i="13"/>
  <c r="M722" i="13"/>
  <c r="M701" i="13"/>
  <c r="M697" i="13"/>
  <c r="M1001" i="13"/>
  <c r="G56" i="9"/>
  <c r="M692" i="13"/>
  <c r="M664" i="13"/>
  <c r="M643" i="13"/>
  <c r="M634" i="13"/>
  <c r="M639" i="13"/>
  <c r="M610" i="13"/>
  <c r="G53" i="9"/>
  <c r="M606" i="13"/>
  <c r="M602" i="13"/>
  <c r="M607" i="13"/>
  <c r="G52" i="9"/>
  <c r="M587" i="13"/>
  <c r="M588" i="13"/>
  <c r="G51" i="9"/>
  <c r="M575" i="13"/>
  <c r="M562" i="13"/>
  <c r="M555" i="13"/>
  <c r="M549" i="13"/>
  <c r="M542" i="13"/>
  <c r="M524" i="13"/>
  <c r="M521" i="13"/>
  <c r="M511" i="13"/>
  <c r="M506" i="13"/>
  <c r="M501" i="13"/>
  <c r="M497" i="13"/>
  <c r="M487" i="13"/>
  <c r="M469" i="13"/>
  <c r="M447" i="13"/>
  <c r="M427" i="13"/>
  <c r="M422" i="13"/>
  <c r="M412" i="13"/>
  <c r="M405" i="13"/>
  <c r="M395" i="13"/>
  <c r="M392" i="13"/>
  <c r="M386" i="13"/>
  <c r="M383" i="13"/>
  <c r="M378" i="13"/>
  <c r="M367" i="13"/>
  <c r="M351" i="13"/>
  <c r="M338" i="13"/>
  <c r="M324" i="13"/>
  <c r="M316" i="13"/>
  <c r="M308" i="13"/>
  <c r="M352" i="13"/>
  <c r="G46" i="9"/>
  <c r="M287" i="13"/>
  <c r="M269" i="13"/>
  <c r="M288" i="13"/>
  <c r="M263" i="13"/>
  <c r="M245" i="13"/>
  <c r="M228" i="13"/>
  <c r="M223" i="13"/>
  <c r="M218" i="13"/>
  <c r="M213" i="13"/>
  <c r="M229" i="13"/>
  <c r="M206" i="13"/>
  <c r="M201" i="13"/>
  <c r="M207" i="13"/>
  <c r="G41" i="9"/>
  <c r="M196" i="13"/>
  <c r="M173" i="13"/>
  <c r="M155" i="13"/>
  <c r="M141" i="13"/>
  <c r="M124" i="13"/>
  <c r="M100" i="13"/>
  <c r="M83" i="13"/>
  <c r="M79" i="13"/>
  <c r="M73" i="13"/>
  <c r="M60" i="13"/>
  <c r="M54" i="13"/>
  <c r="M47" i="13"/>
  <c r="M27" i="13"/>
  <c r="M156" i="13"/>
  <c r="M10" i="13"/>
  <c r="L1779" i="13"/>
  <c r="L1776" i="13"/>
  <c r="L1758" i="13"/>
  <c r="L1754" i="13"/>
  <c r="L1748" i="13"/>
  <c r="L1744" i="13"/>
  <c r="L1741" i="13"/>
  <c r="L1749" i="13"/>
  <c r="F68" i="9"/>
  <c r="L1734" i="13"/>
  <c r="L1735" i="13"/>
  <c r="F67" i="9"/>
  <c r="L1720" i="13"/>
  <c r="L1721" i="13"/>
  <c r="L1699" i="13"/>
  <c r="L1692" i="13"/>
  <c r="L1686" i="13"/>
  <c r="L1663" i="13"/>
  <c r="L1646" i="13"/>
  <c r="L1647" i="13"/>
  <c r="F65" i="9"/>
  <c r="L1640" i="13"/>
  <c r="F62" i="9"/>
  <c r="L1623" i="13"/>
  <c r="L1614" i="13"/>
  <c r="L1624" i="13"/>
  <c r="F61" i="9"/>
  <c r="L1608" i="13"/>
  <c r="L1604" i="13"/>
  <c r="L1600" i="13"/>
  <c r="L1595" i="13"/>
  <c r="L1587" i="13"/>
  <c r="L1582" i="13"/>
  <c r="L1577" i="13"/>
  <c r="L1549" i="13"/>
  <c r="L1530" i="13"/>
  <c r="L1507" i="13"/>
  <c r="L1478" i="13"/>
  <c r="L1454" i="13"/>
  <c r="L1426" i="13"/>
  <c r="L1401" i="13"/>
  <c r="L1380" i="13"/>
  <c r="L1376" i="13"/>
  <c r="L1596" i="13"/>
  <c r="F59" i="9"/>
  <c r="L1351" i="13"/>
  <c r="L1348" i="13"/>
  <c r="L1342" i="13"/>
  <c r="L1336" i="13"/>
  <c r="L1324" i="13"/>
  <c r="L1313" i="13"/>
  <c r="L1309" i="13"/>
  <c r="L1303" i="13"/>
  <c r="L1300" i="13"/>
  <c r="L1288" i="13"/>
  <c r="L1285" i="13"/>
  <c r="L1267" i="13"/>
  <c r="L1262" i="13"/>
  <c r="L1256" i="13"/>
  <c r="L1245" i="13"/>
  <c r="L1325" i="13"/>
  <c r="L1234" i="13"/>
  <c r="L1216" i="13"/>
  <c r="L1209" i="13"/>
  <c r="L1205" i="13"/>
  <c r="L1189" i="13"/>
  <c r="L1182" i="13"/>
  <c r="L1178" i="13"/>
  <c r="L1161" i="13"/>
  <c r="L1151" i="13"/>
  <c r="L1146" i="13"/>
  <c r="L1137" i="13"/>
  <c r="L1127" i="13"/>
  <c r="L1124" i="13"/>
  <c r="L1119" i="13"/>
  <c r="L1113" i="13"/>
  <c r="L1106" i="13"/>
  <c r="L1101" i="13"/>
  <c r="L1097" i="13"/>
  <c r="L1090" i="13"/>
  <c r="L1078" i="13"/>
  <c r="L1075" i="13"/>
  <c r="L1070" i="13"/>
  <c r="L1067" i="13"/>
  <c r="L1063" i="13"/>
  <c r="L1060" i="13"/>
  <c r="L1040" i="13"/>
  <c r="L1034" i="13"/>
  <c r="L1012" i="13"/>
  <c r="L1000" i="13"/>
  <c r="L993" i="13"/>
  <c r="L984" i="13"/>
  <c r="L960" i="13"/>
  <c r="L957" i="13"/>
  <c r="L951" i="13"/>
  <c r="L938" i="13"/>
  <c r="L934" i="13"/>
  <c r="L916" i="13"/>
  <c r="L908" i="13"/>
  <c r="L905" i="13"/>
  <c r="L902" i="13"/>
  <c r="L899" i="13"/>
  <c r="L882" i="13"/>
  <c r="L862" i="13"/>
  <c r="L853" i="13"/>
  <c r="L844" i="13"/>
  <c r="L841" i="13"/>
  <c r="L826" i="13"/>
  <c r="L819" i="13"/>
  <c r="L798" i="13"/>
  <c r="L791" i="13"/>
  <c r="L785" i="13"/>
  <c r="L762" i="13"/>
  <c r="L750" i="13"/>
  <c r="L722" i="13"/>
  <c r="L701" i="13"/>
  <c r="L697" i="13"/>
  <c r="L664" i="13"/>
  <c r="L643" i="13"/>
  <c r="L639" i="13"/>
  <c r="L610" i="13"/>
  <c r="F53" i="9"/>
  <c r="L606" i="13"/>
  <c r="L602" i="13"/>
  <c r="L587" i="13"/>
  <c r="L588" i="13"/>
  <c r="F51" i="9"/>
  <c r="L575" i="13"/>
  <c r="L562" i="13"/>
  <c r="L555" i="13"/>
  <c r="L549" i="13"/>
  <c r="L542" i="13"/>
  <c r="L524" i="13"/>
  <c r="L521" i="13"/>
  <c r="L511" i="13"/>
  <c r="L506" i="13"/>
  <c r="L501" i="13"/>
  <c r="L497" i="13"/>
  <c r="L487" i="13"/>
  <c r="L469" i="13"/>
  <c r="L447" i="13"/>
  <c r="L427" i="13"/>
  <c r="L422" i="13"/>
  <c r="L412" i="13"/>
  <c r="L405" i="13"/>
  <c r="L395" i="13"/>
  <c r="L392" i="13"/>
  <c r="L386" i="13"/>
  <c r="L383" i="13"/>
  <c r="L378" i="13"/>
  <c r="L396" i="13"/>
  <c r="F47" i="9"/>
  <c r="L367" i="13"/>
  <c r="L351" i="13"/>
  <c r="L338" i="13"/>
  <c r="L324" i="13"/>
  <c r="L316" i="13"/>
  <c r="L308" i="13"/>
  <c r="L352" i="13"/>
  <c r="F46" i="9"/>
  <c r="L287" i="13"/>
  <c r="L283" i="13"/>
  <c r="L269" i="13"/>
  <c r="L263" i="13"/>
  <c r="L245" i="13"/>
  <c r="L228" i="13"/>
  <c r="L223" i="13"/>
  <c r="L218" i="13"/>
  <c r="L229" i="13"/>
  <c r="L213" i="13"/>
  <c r="L206" i="13"/>
  <c r="L207" i="13"/>
  <c r="F41" i="9"/>
  <c r="L201" i="13"/>
  <c r="L196" i="13"/>
  <c r="L173" i="13"/>
  <c r="L155" i="13"/>
  <c r="L141" i="13"/>
  <c r="L124" i="13"/>
  <c r="L100" i="13"/>
  <c r="L87" i="13"/>
  <c r="L73" i="13"/>
  <c r="L60" i="13"/>
  <c r="L54" i="13"/>
  <c r="L47" i="13"/>
  <c r="L27" i="13"/>
  <c r="L10" i="13"/>
  <c r="J413" i="12"/>
  <c r="G32" i="9"/>
  <c r="J398" i="12"/>
  <c r="G29" i="9"/>
  <c r="J393" i="12"/>
  <c r="J388" i="12"/>
  <c r="G27" i="9"/>
  <c r="J383" i="12"/>
  <c r="G26" i="9"/>
  <c r="J376" i="12"/>
  <c r="G23" i="9"/>
  <c r="J369" i="12"/>
  <c r="J370" i="12"/>
  <c r="G22" i="9"/>
  <c r="J366" i="12"/>
  <c r="J361" i="12"/>
  <c r="J351" i="12"/>
  <c r="J344" i="12"/>
  <c r="J338" i="12"/>
  <c r="J322" i="12"/>
  <c r="J294" i="12"/>
  <c r="J269" i="12"/>
  <c r="J248" i="12"/>
  <c r="J234" i="12"/>
  <c r="J219" i="12"/>
  <c r="J209" i="12"/>
  <c r="J210" i="12"/>
  <c r="G20" i="9"/>
  <c r="J204" i="12"/>
  <c r="J190" i="12"/>
  <c r="J181" i="12"/>
  <c r="J178" i="12"/>
  <c r="J173" i="12"/>
  <c r="J168" i="12"/>
  <c r="J140" i="12"/>
  <c r="J131" i="12"/>
  <c r="J128" i="12"/>
  <c r="J121" i="12"/>
  <c r="J118" i="12"/>
  <c r="J113" i="12"/>
  <c r="J109" i="12"/>
  <c r="J106" i="12"/>
  <c r="J96" i="12"/>
  <c r="J86" i="12"/>
  <c r="J80" i="12"/>
  <c r="G15" i="9"/>
  <c r="J77" i="12"/>
  <c r="G14" i="9"/>
  <c r="J71" i="12"/>
  <c r="G13" i="9"/>
  <c r="J60" i="12"/>
  <c r="J56" i="12"/>
  <c r="J61" i="12"/>
  <c r="G12" i="9"/>
  <c r="J52" i="12"/>
  <c r="G11" i="9"/>
  <c r="J35" i="12"/>
  <c r="G9" i="9"/>
  <c r="J21" i="12"/>
  <c r="G6" i="9"/>
  <c r="J15" i="12"/>
  <c r="J10" i="12"/>
  <c r="I413" i="12"/>
  <c r="F32" i="9"/>
  <c r="I398" i="12"/>
  <c r="F29" i="9"/>
  <c r="I393" i="12"/>
  <c r="F28" i="9"/>
  <c r="I388" i="12"/>
  <c r="F27" i="9"/>
  <c r="I383" i="12"/>
  <c r="F26" i="9"/>
  <c r="I376" i="12"/>
  <c r="F23" i="9"/>
  <c r="I369" i="12"/>
  <c r="I366" i="12"/>
  <c r="I361" i="12"/>
  <c r="I351" i="12"/>
  <c r="I344" i="12"/>
  <c r="I338" i="12"/>
  <c r="I322" i="12"/>
  <c r="I294" i="12"/>
  <c r="I269" i="12"/>
  <c r="I248" i="12"/>
  <c r="I234" i="12"/>
  <c r="I219" i="12"/>
  <c r="I362" i="12"/>
  <c r="F21" i="9"/>
  <c r="I209" i="12"/>
  <c r="I210" i="12"/>
  <c r="F20" i="9"/>
  <c r="I204" i="12"/>
  <c r="I190" i="12"/>
  <c r="I181" i="12"/>
  <c r="I178" i="12"/>
  <c r="I173" i="12"/>
  <c r="I168" i="12"/>
  <c r="I140" i="12"/>
  <c r="I131" i="12"/>
  <c r="I128" i="12"/>
  <c r="I121" i="12"/>
  <c r="I118" i="12"/>
  <c r="I113" i="12"/>
  <c r="I109" i="12"/>
  <c r="I106" i="12"/>
  <c r="I96" i="12"/>
  <c r="I86" i="12"/>
  <c r="I169" i="12"/>
  <c r="I80" i="12"/>
  <c r="F15" i="9"/>
  <c r="I71" i="12"/>
  <c r="F13" i="9"/>
  <c r="I60" i="12"/>
  <c r="I56" i="12"/>
  <c r="I61" i="12"/>
  <c r="I35" i="12"/>
  <c r="I21" i="12"/>
  <c r="F6" i="9"/>
  <c r="I15" i="12"/>
  <c r="I10" i="12"/>
  <c r="B24" i="7"/>
  <c r="C24" i="7"/>
  <c r="D24" i="7"/>
  <c r="E24" i="7"/>
  <c r="F9" i="11"/>
  <c r="N1507" i="13"/>
  <c r="K1507" i="13"/>
  <c r="G338" i="12"/>
  <c r="H338" i="12"/>
  <c r="H322" i="12"/>
  <c r="H362" i="12"/>
  <c r="E21" i="9"/>
  <c r="G322" i="12"/>
  <c r="J899" i="13"/>
  <c r="E14" i="8"/>
  <c r="D14" i="8"/>
  <c r="B14" i="8"/>
  <c r="C14" i="8"/>
  <c r="E7" i="8"/>
  <c r="E19" i="8"/>
  <c r="D7" i="8"/>
  <c r="B7" i="8"/>
  <c r="B8" i="8"/>
  <c r="C8" i="8"/>
  <c r="D8" i="8"/>
  <c r="E8" i="8"/>
  <c r="N287" i="13"/>
  <c r="K287" i="13"/>
  <c r="J287" i="13"/>
  <c r="D11" i="17"/>
  <c r="D12" i="17"/>
  <c r="G52" i="12"/>
  <c r="N87" i="13"/>
  <c r="K87" i="13"/>
  <c r="J1779" i="13"/>
  <c r="J1216" i="13"/>
  <c r="J1182" i="13"/>
  <c r="J902" i="13"/>
  <c r="J697" i="13"/>
  <c r="J427" i="13"/>
  <c r="N422" i="13"/>
  <c r="N488" i="13"/>
  <c r="H48" i="9"/>
  <c r="K422" i="13"/>
  <c r="J206" i="13"/>
  <c r="J173" i="13"/>
  <c r="J155" i="13"/>
  <c r="J60" i="13"/>
  <c r="J54" i="13"/>
  <c r="J10" i="13"/>
  <c r="J156" i="13"/>
  <c r="D39" i="9"/>
  <c r="G413" i="12"/>
  <c r="G398" i="12"/>
  <c r="D29" i="9"/>
  <c r="D105" i="9"/>
  <c r="G393" i="12"/>
  <c r="D28" i="9"/>
  <c r="D104" i="9"/>
  <c r="G388" i="12"/>
  <c r="D27" i="9"/>
  <c r="G376" i="12"/>
  <c r="D23" i="9"/>
  <c r="D100" i="9"/>
  <c r="G361" i="12"/>
  <c r="G351" i="12"/>
  <c r="G344" i="12"/>
  <c r="G362" i="12"/>
  <c r="G294" i="12"/>
  <c r="G269" i="12"/>
  <c r="G248" i="12"/>
  <c r="G234" i="12"/>
  <c r="G219" i="12"/>
  <c r="G204" i="12"/>
  <c r="G190" i="12"/>
  <c r="G181" i="12"/>
  <c r="G205" i="12"/>
  <c r="G178" i="12"/>
  <c r="G168" i="12"/>
  <c r="G140" i="12"/>
  <c r="G131" i="12"/>
  <c r="G128" i="12"/>
  <c r="G118" i="12"/>
  <c r="G113" i="12"/>
  <c r="G106" i="12"/>
  <c r="G96" i="12"/>
  <c r="G80" i="12"/>
  <c r="G77" i="12"/>
  <c r="D14" i="9"/>
  <c r="D91" i="9"/>
  <c r="G71" i="12"/>
  <c r="D13" i="9"/>
  <c r="D89" i="9"/>
  <c r="G60" i="12"/>
  <c r="G35" i="12"/>
  <c r="D9" i="9"/>
  <c r="G21" i="12"/>
  <c r="D6" i="9"/>
  <c r="N1234" i="13"/>
  <c r="K1234" i="13"/>
  <c r="H52" i="12"/>
  <c r="E11" i="9"/>
  <c r="K388" i="12"/>
  <c r="H27" i="9"/>
  <c r="N785" i="13"/>
  <c r="N1426" i="13"/>
  <c r="N1376" i="13"/>
  <c r="N664" i="13"/>
  <c r="N511" i="13"/>
  <c r="K338" i="12"/>
  <c r="K322" i="12"/>
  <c r="C19" i="9"/>
  <c r="C22" i="9"/>
  <c r="B20" i="9"/>
  <c r="K209" i="12"/>
  <c r="K210" i="12"/>
  <c r="H20" i="9"/>
  <c r="H209" i="12"/>
  <c r="H210" i="12"/>
  <c r="E20" i="9"/>
  <c r="G209" i="12"/>
  <c r="F7" i="3"/>
  <c r="F9" i="3"/>
  <c r="F17" i="3"/>
  <c r="E11" i="8"/>
  <c r="D11" i="8"/>
  <c r="C11" i="8"/>
  <c r="B11" i="8"/>
  <c r="K190" i="12"/>
  <c r="H190" i="12"/>
  <c r="E38" i="7"/>
  <c r="J1818" i="3"/>
  <c r="J1818" i="7"/>
  <c r="J1818" i="8"/>
  <c r="H1822" i="17"/>
  <c r="J1818" i="12"/>
  <c r="J1097" i="13"/>
  <c r="F21" i="11"/>
  <c r="D13" i="11"/>
  <c r="D8" i="11"/>
  <c r="F5" i="11"/>
  <c r="B31" i="7"/>
  <c r="C31" i="7"/>
  <c r="D31" i="7"/>
  <c r="E31" i="7"/>
  <c r="E35" i="7"/>
  <c r="D35" i="7"/>
  <c r="C35" i="7"/>
  <c r="B35" i="7"/>
  <c r="D36" i="7"/>
  <c r="C36" i="7"/>
  <c r="B36" i="7"/>
  <c r="B38" i="7"/>
  <c r="C38" i="7"/>
  <c r="D38" i="7"/>
  <c r="B34" i="7"/>
  <c r="C34" i="7"/>
  <c r="D34" i="7"/>
  <c r="E29" i="7"/>
  <c r="D29" i="7"/>
  <c r="C29" i="7"/>
  <c r="B29" i="7"/>
  <c r="E18" i="8"/>
  <c r="D18" i="8"/>
  <c r="C18" i="8"/>
  <c r="B18" i="8"/>
  <c r="E17" i="8"/>
  <c r="D17" i="8"/>
  <c r="C17" i="8"/>
  <c r="B17" i="8"/>
  <c r="E16" i="8"/>
  <c r="D16" i="8"/>
  <c r="C16" i="8"/>
  <c r="B16" i="8"/>
  <c r="E15" i="8"/>
  <c r="D15" i="8"/>
  <c r="C15" i="8"/>
  <c r="B15" i="8"/>
  <c r="E13" i="8"/>
  <c r="D13" i="8"/>
  <c r="C13" i="8"/>
  <c r="B13" i="8"/>
  <c r="E12" i="8"/>
  <c r="D12" i="8"/>
  <c r="C12" i="8"/>
  <c r="B12" i="8"/>
  <c r="E10" i="8"/>
  <c r="D10" i="8"/>
  <c r="C10" i="8"/>
  <c r="B10" i="8"/>
  <c r="E9" i="8"/>
  <c r="D9" i="8"/>
  <c r="C9" i="8"/>
  <c r="B9" i="8"/>
  <c r="J124" i="13"/>
  <c r="K204" i="12"/>
  <c r="H204" i="12"/>
  <c r="J338" i="13"/>
  <c r="J1549" i="13"/>
  <c r="K376" i="12"/>
  <c r="H23" i="9"/>
  <c r="H376" i="12"/>
  <c r="E23" i="9"/>
  <c r="J412" i="13"/>
  <c r="J1608" i="13"/>
  <c r="K1205" i="13"/>
  <c r="K1217" i="13"/>
  <c r="N1205" i="13"/>
  <c r="E34" i="7"/>
  <c r="J1478" i="13"/>
  <c r="J245" i="13"/>
  <c r="J1012" i="13"/>
  <c r="J1178" i="13"/>
  <c r="J555" i="13"/>
  <c r="J201" i="13"/>
  <c r="J1582" i="13"/>
  <c r="J1040" i="13"/>
  <c r="J606" i="13"/>
  <c r="J587" i="13"/>
  <c r="J588" i="13"/>
  <c r="J562" i="13"/>
  <c r="J521" i="13"/>
  <c r="L21" i="3"/>
  <c r="B29" i="9"/>
  <c r="B28" i="9"/>
  <c r="B27" i="9"/>
  <c r="B26" i="9"/>
  <c r="B23" i="9"/>
  <c r="D23" i="17"/>
  <c r="C23" i="17"/>
  <c r="G173" i="12"/>
  <c r="J1078" i="13"/>
  <c r="J549" i="13"/>
  <c r="J405" i="13"/>
  <c r="J367" i="13"/>
  <c r="D5" i="17"/>
  <c r="N1113" i="13"/>
  <c r="K1113" i="13"/>
  <c r="J1113" i="13"/>
  <c r="K1078" i="13"/>
  <c r="N1078" i="13"/>
  <c r="N506" i="13"/>
  <c r="K506" i="13"/>
  <c r="J506" i="13"/>
  <c r="J512" i="13"/>
  <c r="D49" i="9"/>
  <c r="E88" i="9"/>
  <c r="F88" i="9"/>
  <c r="N534" i="13"/>
  <c r="K534" i="13"/>
  <c r="J534" i="13"/>
  <c r="N853" i="13"/>
  <c r="K853" i="13"/>
  <c r="K882" i="13"/>
  <c r="K413" i="12"/>
  <c r="H32" i="9"/>
  <c r="H413" i="12"/>
  <c r="E32" i="9"/>
  <c r="K398" i="12"/>
  <c r="H398" i="12"/>
  <c r="E29" i="9"/>
  <c r="K393" i="12"/>
  <c r="H28" i="9"/>
  <c r="H393" i="12"/>
  <c r="E28" i="9"/>
  <c r="H388" i="12"/>
  <c r="K383" i="12"/>
  <c r="H26" i="9"/>
  <c r="H383" i="12"/>
  <c r="G383" i="12"/>
  <c r="D26" i="9"/>
  <c r="D102" i="9"/>
  <c r="K369" i="12"/>
  <c r="H369" i="12"/>
  <c r="G369" i="12"/>
  <c r="K366" i="12"/>
  <c r="H366" i="12"/>
  <c r="G366" i="12"/>
  <c r="K361" i="12"/>
  <c r="H361" i="12"/>
  <c r="K351" i="12"/>
  <c r="H351" i="12"/>
  <c r="K344" i="12"/>
  <c r="H344" i="12"/>
  <c r="H294" i="12"/>
  <c r="K294" i="12"/>
  <c r="K269" i="12"/>
  <c r="H269" i="12"/>
  <c r="K248" i="12"/>
  <c r="K362" i="12"/>
  <c r="H21" i="9"/>
  <c r="H248" i="12"/>
  <c r="K234" i="12"/>
  <c r="H234" i="12"/>
  <c r="K219" i="12"/>
  <c r="H219" i="12"/>
  <c r="H181" i="12"/>
  <c r="K181" i="12"/>
  <c r="K178" i="12"/>
  <c r="K205" i="12"/>
  <c r="H19" i="9"/>
  <c r="H178" i="12"/>
  <c r="K173" i="12"/>
  <c r="H173" i="12"/>
  <c r="H168" i="12"/>
  <c r="K168" i="12"/>
  <c r="K140" i="12"/>
  <c r="H140" i="12"/>
  <c r="K131" i="12"/>
  <c r="H131" i="12"/>
  <c r="K128" i="12"/>
  <c r="H128" i="12"/>
  <c r="K121" i="12"/>
  <c r="H121" i="12"/>
  <c r="G121" i="12"/>
  <c r="K118" i="12"/>
  <c r="H118" i="12"/>
  <c r="H169" i="12"/>
  <c r="E18" i="9"/>
  <c r="K113" i="12"/>
  <c r="H113" i="12"/>
  <c r="K109" i="12"/>
  <c r="H109" i="12"/>
  <c r="G109" i="12"/>
  <c r="K106" i="12"/>
  <c r="H106" i="12"/>
  <c r="K96" i="12"/>
  <c r="H96" i="12"/>
  <c r="K86" i="12"/>
  <c r="H86" i="12"/>
  <c r="G86" i="12"/>
  <c r="K80" i="12"/>
  <c r="H15" i="9"/>
  <c r="H80" i="12"/>
  <c r="E15" i="9"/>
  <c r="K77" i="12"/>
  <c r="H14" i="9"/>
  <c r="H77" i="12"/>
  <c r="E14" i="9"/>
  <c r="K71" i="12"/>
  <c r="H13" i="9"/>
  <c r="H71" i="12"/>
  <c r="E13" i="9"/>
  <c r="K60" i="12"/>
  <c r="H60" i="12"/>
  <c r="K56" i="12"/>
  <c r="H56" i="12"/>
  <c r="H61" i="12"/>
  <c r="G56" i="12"/>
  <c r="K35" i="12"/>
  <c r="H9" i="9"/>
  <c r="H35" i="12"/>
  <c r="E9" i="9"/>
  <c r="K21" i="12"/>
  <c r="H6" i="9"/>
  <c r="H21" i="12"/>
  <c r="K15" i="12"/>
  <c r="H15" i="12"/>
  <c r="G15" i="12"/>
  <c r="E31" i="6"/>
  <c r="F31" i="6"/>
  <c r="K10" i="12"/>
  <c r="N762" i="13"/>
  <c r="N750" i="13"/>
  <c r="N701" i="13"/>
  <c r="N697" i="13"/>
  <c r="N692" i="13"/>
  <c r="N1161" i="13"/>
  <c r="F1" i="13"/>
  <c r="C2" i="9"/>
  <c r="I3" i="13"/>
  <c r="I4" i="13"/>
  <c r="I5" i="13"/>
  <c r="K10" i="13"/>
  <c r="N10" i="13"/>
  <c r="I11" i="13"/>
  <c r="K27" i="13"/>
  <c r="N27" i="13"/>
  <c r="K47" i="13"/>
  <c r="N47" i="13"/>
  <c r="N156" i="13"/>
  <c r="N230" i="13"/>
  <c r="K54" i="13"/>
  <c r="N54" i="13"/>
  <c r="K60" i="13"/>
  <c r="N60" i="13"/>
  <c r="K73" i="13"/>
  <c r="N73" i="13"/>
  <c r="K100" i="13"/>
  <c r="N100" i="13"/>
  <c r="K124" i="13"/>
  <c r="N124" i="13"/>
  <c r="K141" i="13"/>
  <c r="N141" i="13"/>
  <c r="K155" i="13"/>
  <c r="N155" i="13"/>
  <c r="K173" i="13"/>
  <c r="K197" i="13"/>
  <c r="E40" i="9"/>
  <c r="N173" i="13"/>
  <c r="N197" i="13"/>
  <c r="H40" i="9"/>
  <c r="K196" i="13"/>
  <c r="N196" i="13"/>
  <c r="K201" i="13"/>
  <c r="N201" i="13"/>
  <c r="K206" i="13"/>
  <c r="N206" i="13"/>
  <c r="N207" i="13"/>
  <c r="K213" i="13"/>
  <c r="N213" i="13"/>
  <c r="N229" i="13"/>
  <c r="H20" i="3"/>
  <c r="J218" i="13"/>
  <c r="K218" i="13"/>
  <c r="N218" i="13"/>
  <c r="J223" i="13"/>
  <c r="K223" i="13"/>
  <c r="N223" i="13"/>
  <c r="J228" i="13"/>
  <c r="K228" i="13"/>
  <c r="N228" i="13"/>
  <c r="K245" i="13"/>
  <c r="K288" i="13"/>
  <c r="E45" i="9"/>
  <c r="N245" i="13"/>
  <c r="N263" i="13"/>
  <c r="J269" i="13"/>
  <c r="K269" i="13"/>
  <c r="N269" i="13"/>
  <c r="K308" i="13"/>
  <c r="N308" i="13"/>
  <c r="J316" i="13"/>
  <c r="K316" i="13"/>
  <c r="N316" i="13"/>
  <c r="K324" i="13"/>
  <c r="N324" i="13"/>
  <c r="K338" i="13"/>
  <c r="N338" i="13"/>
  <c r="N352" i="13"/>
  <c r="H46" i="9"/>
  <c r="J351" i="13"/>
  <c r="K351" i="13"/>
  <c r="N351" i="13"/>
  <c r="K367" i="13"/>
  <c r="N367" i="13"/>
  <c r="J378" i="13"/>
  <c r="D6" i="17"/>
  <c r="K378" i="13"/>
  <c r="N378" i="13"/>
  <c r="K383" i="13"/>
  <c r="N383" i="13"/>
  <c r="J386" i="13"/>
  <c r="K386" i="13"/>
  <c r="N386" i="13"/>
  <c r="J392" i="13"/>
  <c r="D9" i="17"/>
  <c r="K392" i="13"/>
  <c r="N392" i="13"/>
  <c r="J395" i="13"/>
  <c r="D10" i="17"/>
  <c r="K395" i="13"/>
  <c r="N395" i="13"/>
  <c r="K405" i="13"/>
  <c r="N405" i="13"/>
  <c r="K412" i="13"/>
  <c r="K488" i="13"/>
  <c r="E48" i="9"/>
  <c r="N412" i="13"/>
  <c r="K427" i="13"/>
  <c r="N427" i="13"/>
  <c r="K447" i="13"/>
  <c r="N447" i="13"/>
  <c r="K469" i="13"/>
  <c r="N469" i="13"/>
  <c r="K487" i="13"/>
  <c r="N487" i="13"/>
  <c r="K497" i="13"/>
  <c r="N497" i="13"/>
  <c r="J501" i="13"/>
  <c r="K501" i="13"/>
  <c r="N501" i="13"/>
  <c r="N512" i="13"/>
  <c r="H49" i="9"/>
  <c r="K521" i="13"/>
  <c r="N521" i="13"/>
  <c r="J524" i="13"/>
  <c r="K524" i="13"/>
  <c r="N524" i="13"/>
  <c r="K542" i="13"/>
  <c r="N542" i="13"/>
  <c r="K549" i="13"/>
  <c r="N549" i="13"/>
  <c r="K555" i="13"/>
  <c r="N555" i="13"/>
  <c r="K562" i="13"/>
  <c r="N562" i="13"/>
  <c r="K575" i="13"/>
  <c r="N575" i="13"/>
  <c r="K587" i="13"/>
  <c r="K588" i="13"/>
  <c r="E51" i="9"/>
  <c r="N587" i="13"/>
  <c r="N588" i="13"/>
  <c r="H51" i="9"/>
  <c r="K602" i="13"/>
  <c r="K607" i="13"/>
  <c r="E52" i="9"/>
  <c r="N602" i="13"/>
  <c r="K606" i="13"/>
  <c r="N606" i="13"/>
  <c r="J610" i="13"/>
  <c r="D53" i="9"/>
  <c r="E92" i="9"/>
  <c r="K610" i="13"/>
  <c r="E53" i="9"/>
  <c r="N610" i="13"/>
  <c r="H53" i="9"/>
  <c r="N639" i="13"/>
  <c r="N643" i="13"/>
  <c r="K697" i="13"/>
  <c r="J701" i="13"/>
  <c r="K701" i="13"/>
  <c r="J762" i="13"/>
  <c r="K762" i="13"/>
  <c r="K785" i="13"/>
  <c r="J791" i="13"/>
  <c r="K791" i="13"/>
  <c r="N791" i="13"/>
  <c r="K798" i="13"/>
  <c r="N798" i="13"/>
  <c r="K819" i="13"/>
  <c r="N819" i="13"/>
  <c r="J826" i="13"/>
  <c r="K826" i="13"/>
  <c r="N826" i="13"/>
  <c r="J841" i="13"/>
  <c r="K841" i="13"/>
  <c r="N841" i="13"/>
  <c r="J844" i="13"/>
  <c r="K844" i="13"/>
  <c r="N844" i="13"/>
  <c r="J862" i="13"/>
  <c r="K862" i="13"/>
  <c r="N862" i="13"/>
  <c r="N882" i="13"/>
  <c r="K899" i="13"/>
  <c r="K902" i="13"/>
  <c r="N902" i="13"/>
  <c r="J905" i="13"/>
  <c r="K905" i="13"/>
  <c r="N905" i="13"/>
  <c r="J908" i="13"/>
  <c r="K908" i="13"/>
  <c r="N908" i="13"/>
  <c r="K916" i="13"/>
  <c r="N916" i="13"/>
  <c r="J934" i="13"/>
  <c r="N934" i="13"/>
  <c r="J938" i="13"/>
  <c r="K938" i="13"/>
  <c r="N938" i="13"/>
  <c r="J951" i="13"/>
  <c r="K951" i="13"/>
  <c r="N951" i="13"/>
  <c r="J957" i="13"/>
  <c r="K957" i="13"/>
  <c r="N957" i="13"/>
  <c r="J960" i="13"/>
  <c r="K960" i="13"/>
  <c r="N960" i="13"/>
  <c r="K984" i="13"/>
  <c r="N984" i="13"/>
  <c r="J993" i="13"/>
  <c r="K993" i="13"/>
  <c r="N993" i="13"/>
  <c r="J1000" i="13"/>
  <c r="K1000" i="13"/>
  <c r="N1000" i="13"/>
  <c r="K1012" i="13"/>
  <c r="N1012" i="13"/>
  <c r="K1034" i="13"/>
  <c r="N1034" i="13"/>
  <c r="K1040" i="13"/>
  <c r="N1040" i="13"/>
  <c r="K1060" i="13"/>
  <c r="N1060" i="13"/>
  <c r="J1063" i="13"/>
  <c r="K1063" i="13"/>
  <c r="N1063" i="13"/>
  <c r="J1067" i="13"/>
  <c r="K1067" i="13"/>
  <c r="N1067" i="13"/>
  <c r="J1070" i="13"/>
  <c r="K1070" i="13"/>
  <c r="N1070" i="13"/>
  <c r="J1075" i="13"/>
  <c r="K1075" i="13"/>
  <c r="N1075" i="13"/>
  <c r="J1090" i="13"/>
  <c r="K1090" i="13"/>
  <c r="N1090" i="13"/>
  <c r="K1097" i="13"/>
  <c r="N1097" i="13"/>
  <c r="J1101" i="13"/>
  <c r="K1101" i="13"/>
  <c r="N1101" i="13"/>
  <c r="K1106" i="13"/>
  <c r="N1106" i="13"/>
  <c r="J1119" i="13"/>
  <c r="K1119" i="13"/>
  <c r="N1119" i="13"/>
  <c r="J1124" i="13"/>
  <c r="K1124" i="13"/>
  <c r="N1124" i="13"/>
  <c r="J1127" i="13"/>
  <c r="K1127" i="13"/>
  <c r="N1127" i="13"/>
  <c r="J1137" i="13"/>
  <c r="K1137" i="13"/>
  <c r="N1137" i="13"/>
  <c r="J1146" i="13"/>
  <c r="K1146" i="13"/>
  <c r="N1146" i="13"/>
  <c r="J1151" i="13"/>
  <c r="K1151" i="13"/>
  <c r="N1151" i="13"/>
  <c r="J1161" i="13"/>
  <c r="K1161" i="13"/>
  <c r="K1178" i="13"/>
  <c r="N1178" i="13"/>
  <c r="K1182" i="13"/>
  <c r="N1182" i="13"/>
  <c r="J1189" i="13"/>
  <c r="K1189" i="13"/>
  <c r="N1189" i="13"/>
  <c r="J1209" i="13"/>
  <c r="K1209" i="13"/>
  <c r="N1209" i="13"/>
  <c r="K1216" i="13"/>
  <c r="N1216" i="13"/>
  <c r="J1245" i="13"/>
  <c r="K1245" i="13"/>
  <c r="N1245" i="13"/>
  <c r="J1256" i="13"/>
  <c r="K1256" i="13"/>
  <c r="N1256" i="13"/>
  <c r="J1262" i="13"/>
  <c r="K1262" i="13"/>
  <c r="N1262" i="13"/>
  <c r="J1267" i="13"/>
  <c r="K1267" i="13"/>
  <c r="N1267" i="13"/>
  <c r="J1285" i="13"/>
  <c r="K1285" i="13"/>
  <c r="N1285" i="13"/>
  <c r="J1288" i="13"/>
  <c r="K1288" i="13"/>
  <c r="N1288" i="13"/>
  <c r="J1300" i="13"/>
  <c r="K1300" i="13"/>
  <c r="N1300" i="13"/>
  <c r="J1303" i="13"/>
  <c r="K1303" i="13"/>
  <c r="N1303" i="13"/>
  <c r="J1309" i="13"/>
  <c r="K1309" i="13"/>
  <c r="N1309" i="13"/>
  <c r="K1313" i="13"/>
  <c r="N1313" i="13"/>
  <c r="K1324" i="13"/>
  <c r="N1324" i="13"/>
  <c r="K1336" i="13"/>
  <c r="N1336" i="13"/>
  <c r="K1342" i="13"/>
  <c r="N1342" i="13"/>
  <c r="N1352" i="13"/>
  <c r="H58" i="9"/>
  <c r="K1348" i="13"/>
  <c r="N1348" i="13"/>
  <c r="J1351" i="13"/>
  <c r="K1351" i="13"/>
  <c r="N1351" i="13"/>
  <c r="K1376" i="13"/>
  <c r="N1380" i="13"/>
  <c r="K1401" i="13"/>
  <c r="N1401" i="13"/>
  <c r="K1426" i="13"/>
  <c r="K1454" i="13"/>
  <c r="N1454" i="13"/>
  <c r="K1478" i="13"/>
  <c r="K1530" i="13"/>
  <c r="N1530" i="13"/>
  <c r="K1549" i="13"/>
  <c r="N1549" i="13"/>
  <c r="K1577" i="13"/>
  <c r="N1577" i="13"/>
  <c r="K1582" i="13"/>
  <c r="N1582" i="13"/>
  <c r="J1587" i="13"/>
  <c r="K1587" i="13"/>
  <c r="J1595" i="13"/>
  <c r="K1595" i="13"/>
  <c r="N1595" i="13"/>
  <c r="J1600" i="13"/>
  <c r="K1600" i="13"/>
  <c r="K1609" i="13"/>
  <c r="N1600" i="13"/>
  <c r="J1604" i="13"/>
  <c r="K1604" i="13"/>
  <c r="N1604" i="13"/>
  <c r="K1608" i="13"/>
  <c r="N1608" i="13"/>
  <c r="J1614" i="13"/>
  <c r="K1614" i="13"/>
  <c r="N1614" i="13"/>
  <c r="N1623" i="13"/>
  <c r="N1624" i="13"/>
  <c r="H61" i="9"/>
  <c r="K1640" i="13"/>
  <c r="E62" i="9"/>
  <c r="N1640" i="13"/>
  <c r="H62" i="9"/>
  <c r="J1646" i="13"/>
  <c r="J1647" i="13"/>
  <c r="K1646" i="13"/>
  <c r="K1647" i="13"/>
  <c r="E65" i="9"/>
  <c r="N1646" i="13"/>
  <c r="N1647" i="13"/>
  <c r="H65" i="9"/>
  <c r="K1663" i="13"/>
  <c r="N1663" i="13"/>
  <c r="N1721" i="13"/>
  <c r="H66" i="9"/>
  <c r="J1686" i="13"/>
  <c r="K1686" i="13"/>
  <c r="K1721" i="13"/>
  <c r="E66" i="9"/>
  <c r="N1686" i="13"/>
  <c r="J1692" i="13"/>
  <c r="K1692" i="13"/>
  <c r="J1699" i="13"/>
  <c r="K1699" i="13"/>
  <c r="N1699" i="13"/>
  <c r="K1720" i="13"/>
  <c r="N1720" i="13"/>
  <c r="J1734" i="13"/>
  <c r="J1735" i="13"/>
  <c r="D67" i="9"/>
  <c r="E104" i="9"/>
  <c r="K1734" i="13"/>
  <c r="K1735" i="13"/>
  <c r="E67" i="9"/>
  <c r="N1734" i="13"/>
  <c r="N1735" i="13"/>
  <c r="H67" i="9"/>
  <c r="J1741" i="13"/>
  <c r="J1749" i="13"/>
  <c r="D68" i="9"/>
  <c r="E105" i="9"/>
  <c r="K1741" i="13"/>
  <c r="N1741" i="13"/>
  <c r="J1744" i="13"/>
  <c r="K1744" i="13"/>
  <c r="N1744" i="13"/>
  <c r="J1748" i="13"/>
  <c r="K1748" i="13"/>
  <c r="N1748" i="13"/>
  <c r="J1754" i="13"/>
  <c r="K1754" i="13"/>
  <c r="K1780" i="13"/>
  <c r="E69" i="9"/>
  <c r="N1754" i="13"/>
  <c r="J1758" i="13"/>
  <c r="K1758" i="13"/>
  <c r="N1758" i="13"/>
  <c r="K1768" i="13"/>
  <c r="N1768" i="13"/>
  <c r="N1776" i="13"/>
  <c r="K1779" i="13"/>
  <c r="N1779" i="13"/>
  <c r="F6" i="11"/>
  <c r="D7" i="11"/>
  <c r="F10" i="11"/>
  <c r="D11" i="11"/>
  <c r="D12" i="11"/>
  <c r="D14" i="11"/>
  <c r="D15" i="11"/>
  <c r="F16" i="11"/>
  <c r="F19" i="11"/>
  <c r="F17" i="11"/>
  <c r="F18" i="11"/>
  <c r="G18" i="11"/>
  <c r="D21" i="17"/>
  <c r="D22" i="17"/>
  <c r="D24" i="17"/>
  <c r="D26" i="17"/>
  <c r="D2" i="9"/>
  <c r="D36" i="9"/>
  <c r="E2" i="9"/>
  <c r="E36" i="9"/>
  <c r="F2" i="9"/>
  <c r="F36" i="9"/>
  <c r="G2" i="9"/>
  <c r="G36" i="9"/>
  <c r="H2" i="9"/>
  <c r="H36" i="9"/>
  <c r="C3" i="9"/>
  <c r="D3" i="9"/>
  <c r="D37" i="9"/>
  <c r="D76" i="9"/>
  <c r="E76" i="9"/>
  <c r="E3" i="9"/>
  <c r="E37" i="9"/>
  <c r="F3" i="9"/>
  <c r="F37" i="9"/>
  <c r="G3" i="9"/>
  <c r="G37" i="9"/>
  <c r="H3" i="9"/>
  <c r="H37" i="9"/>
  <c r="C4" i="9"/>
  <c r="C78" i="9"/>
  <c r="B5" i="9"/>
  <c r="C5" i="9"/>
  <c r="B6" i="9"/>
  <c r="C6" i="9"/>
  <c r="C8" i="9"/>
  <c r="B9" i="9"/>
  <c r="C9" i="9"/>
  <c r="B10" i="9"/>
  <c r="C10" i="9"/>
  <c r="B11" i="9"/>
  <c r="C11" i="9"/>
  <c r="B12" i="9"/>
  <c r="C12" i="9"/>
  <c r="B13" i="9"/>
  <c r="C13" i="9"/>
  <c r="B14" i="9"/>
  <c r="C14" i="9"/>
  <c r="B15" i="9"/>
  <c r="C15" i="9"/>
  <c r="C17" i="9"/>
  <c r="B18" i="9"/>
  <c r="C18" i="9"/>
  <c r="B19" i="9"/>
  <c r="B21" i="9"/>
  <c r="C21" i="9"/>
  <c r="B22" i="9"/>
  <c r="B37" i="9"/>
  <c r="C37" i="9"/>
  <c r="C38" i="9"/>
  <c r="B39" i="9"/>
  <c r="C39" i="9"/>
  <c r="C79" i="9"/>
  <c r="B40" i="9"/>
  <c r="C40" i="9"/>
  <c r="C80" i="9"/>
  <c r="B41" i="9"/>
  <c r="C41" i="9"/>
  <c r="C81" i="9"/>
  <c r="B42" i="9"/>
  <c r="C42" i="9"/>
  <c r="C44" i="9"/>
  <c r="B45" i="9"/>
  <c r="C45" i="9"/>
  <c r="B46" i="9"/>
  <c r="C46" i="9"/>
  <c r="B47" i="9"/>
  <c r="C47" i="9"/>
  <c r="B48" i="9"/>
  <c r="C48" i="9"/>
  <c r="B49" i="9"/>
  <c r="C49" i="9"/>
  <c r="B50" i="9"/>
  <c r="C50" i="9"/>
  <c r="B51" i="9"/>
  <c r="C51" i="9"/>
  <c r="B52" i="9"/>
  <c r="C52" i="9"/>
  <c r="B53" i="9"/>
  <c r="C53" i="9"/>
  <c r="C55" i="9"/>
  <c r="B56" i="9"/>
  <c r="C56" i="9"/>
  <c r="B57" i="9"/>
  <c r="C57" i="9"/>
  <c r="B58" i="9"/>
  <c r="C58" i="9"/>
  <c r="B59" i="9"/>
  <c r="C59" i="9"/>
  <c r="B60" i="9"/>
  <c r="C60" i="9"/>
  <c r="B61" i="9"/>
  <c r="C61" i="9"/>
  <c r="B62" i="9"/>
  <c r="C62" i="9"/>
  <c r="C64" i="9"/>
  <c r="B65" i="9"/>
  <c r="C65" i="9"/>
  <c r="B66" i="9"/>
  <c r="C66" i="9"/>
  <c r="B67" i="9"/>
  <c r="C67" i="9"/>
  <c r="B68" i="9"/>
  <c r="C68" i="9"/>
  <c r="B69" i="9"/>
  <c r="C82" i="9"/>
  <c r="C83" i="9"/>
  <c r="C84" i="9"/>
  <c r="C85" i="9"/>
  <c r="C86" i="9"/>
  <c r="C88" i="9"/>
  <c r="C89" i="9"/>
  <c r="C91" i="9"/>
  <c r="C92" i="9"/>
  <c r="C93" i="9"/>
  <c r="C94" i="9"/>
  <c r="C95" i="9"/>
  <c r="C96" i="9"/>
  <c r="C97" i="9"/>
  <c r="C98" i="9"/>
  <c r="C99" i="9"/>
  <c r="C100" i="9"/>
  <c r="C101" i="9"/>
  <c r="C102" i="9"/>
  <c r="C103" i="9"/>
  <c r="C104" i="9"/>
  <c r="C105" i="9"/>
  <c r="E4" i="8"/>
  <c r="B1" i="7"/>
  <c r="C6" i="7"/>
  <c r="B8" i="7"/>
  <c r="C8" i="7"/>
  <c r="D8" i="7"/>
  <c r="E8" i="7"/>
  <c r="B9" i="7"/>
  <c r="C9" i="7"/>
  <c r="D9" i="7"/>
  <c r="E9" i="7"/>
  <c r="B10" i="7"/>
  <c r="C10" i="7"/>
  <c r="D10" i="7"/>
  <c r="E10" i="7"/>
  <c r="B11" i="7"/>
  <c r="C11" i="7"/>
  <c r="D11" i="7"/>
  <c r="E11" i="7"/>
  <c r="B13" i="7"/>
  <c r="C13" i="7"/>
  <c r="D13" i="7"/>
  <c r="E13" i="7"/>
  <c r="B14" i="7"/>
  <c r="C14" i="7"/>
  <c r="D14" i="7"/>
  <c r="E14" i="7"/>
  <c r="B15" i="7"/>
  <c r="C15" i="7"/>
  <c r="D15" i="7"/>
  <c r="E15" i="7"/>
  <c r="B16" i="7"/>
  <c r="C16" i="7"/>
  <c r="D16" i="7"/>
  <c r="E16" i="7"/>
  <c r="B17" i="7"/>
  <c r="C17" i="7"/>
  <c r="D17" i="7"/>
  <c r="E17" i="7"/>
  <c r="B18" i="7"/>
  <c r="C18" i="7"/>
  <c r="D18" i="7"/>
  <c r="E18" i="7"/>
  <c r="B19" i="7"/>
  <c r="C19" i="7"/>
  <c r="D19" i="7"/>
  <c r="E19" i="7"/>
  <c r="B20" i="7"/>
  <c r="C20" i="7"/>
  <c r="D20" i="7"/>
  <c r="B21" i="7"/>
  <c r="C21" i="7"/>
  <c r="D21" i="7"/>
  <c r="E21" i="7"/>
  <c r="B22" i="7"/>
  <c r="C22" i="7"/>
  <c r="D22" i="7"/>
  <c r="E22" i="7"/>
  <c r="B23" i="7"/>
  <c r="C23" i="7"/>
  <c r="D23" i="7"/>
  <c r="E23" i="7"/>
  <c r="B25" i="7"/>
  <c r="C25" i="7"/>
  <c r="D25" i="7"/>
  <c r="E25" i="7"/>
  <c r="B26" i="7"/>
  <c r="C26" i="7"/>
  <c r="D26" i="7"/>
  <c r="B27" i="7"/>
  <c r="C27" i="7"/>
  <c r="D27" i="7"/>
  <c r="E27" i="7"/>
  <c r="B30" i="7"/>
  <c r="C30" i="7"/>
  <c r="D30" i="7"/>
  <c r="B32" i="7"/>
  <c r="C32" i="7"/>
  <c r="D32" i="7"/>
  <c r="E32" i="7"/>
  <c r="B33" i="7"/>
  <c r="C33" i="7"/>
  <c r="D33" i="7"/>
  <c r="E33" i="7"/>
  <c r="B37" i="7"/>
  <c r="C37" i="7"/>
  <c r="D37" i="7"/>
  <c r="E37" i="7"/>
  <c r="B39" i="7"/>
  <c r="C39" i="7"/>
  <c r="D39" i="7"/>
  <c r="E39" i="7"/>
  <c r="B40" i="7"/>
  <c r="C40" i="7"/>
  <c r="D40" i="7"/>
  <c r="E40" i="7"/>
  <c r="B23" i="3"/>
  <c r="D4" i="3"/>
  <c r="D26" i="3"/>
  <c r="E4" i="3"/>
  <c r="F4" i="3"/>
  <c r="F36" i="3"/>
  <c r="G4" i="3"/>
  <c r="G26" i="3"/>
  <c r="H4" i="3"/>
  <c r="H26" i="3"/>
  <c r="D5" i="3"/>
  <c r="D16" i="3"/>
  <c r="E5" i="3"/>
  <c r="F5" i="3"/>
  <c r="F27" i="3"/>
  <c r="G5" i="3"/>
  <c r="G37" i="3"/>
  <c r="H5" i="3"/>
  <c r="H27" i="3"/>
  <c r="E7" i="3"/>
  <c r="E8" i="3"/>
  <c r="J19" i="3"/>
  <c r="B32" i="3"/>
  <c r="C86" i="3"/>
  <c r="C82" i="3"/>
  <c r="C83" i="3"/>
  <c r="C84" i="3"/>
  <c r="C85" i="3"/>
  <c r="C93" i="3"/>
  <c r="C94" i="3"/>
  <c r="C95" i="3"/>
  <c r="E19" i="11"/>
  <c r="J984" i="13"/>
  <c r="J383" i="13"/>
  <c r="D7" i="17"/>
  <c r="J1663" i="13"/>
  <c r="E30" i="7"/>
  <c r="J100" i="13"/>
  <c r="E36" i="7"/>
  <c r="E20" i="7"/>
  <c r="E26" i="7"/>
  <c r="J798" i="13"/>
  <c r="D7" i="3"/>
  <c r="D83" i="3"/>
  <c r="D8" i="3"/>
  <c r="G84" i="3"/>
  <c r="J575" i="13"/>
  <c r="J639" i="13"/>
  <c r="F8" i="3"/>
  <c r="H7" i="3"/>
  <c r="H8" i="3"/>
  <c r="N722" i="13"/>
  <c r="G17" i="3"/>
  <c r="G8" i="3"/>
  <c r="G7" i="3"/>
  <c r="B44" i="3"/>
  <c r="C75" i="3"/>
  <c r="B1" i="8"/>
  <c r="N899" i="13"/>
  <c r="D15" i="3"/>
  <c r="E81" i="3"/>
  <c r="F37" i="3"/>
  <c r="D81" i="3"/>
  <c r="F16" i="3"/>
  <c r="E92" i="3"/>
  <c r="G80" i="3"/>
  <c r="H15" i="3"/>
  <c r="G91" i="3"/>
  <c r="G81" i="3"/>
  <c r="H16" i="3"/>
  <c r="G92" i="3"/>
  <c r="K643" i="13"/>
  <c r="J1060" i="13"/>
  <c r="G36" i="3"/>
  <c r="G15" i="3"/>
  <c r="F91" i="3"/>
  <c r="E37" i="3"/>
  <c r="E80" i="3"/>
  <c r="J447" i="13"/>
  <c r="J664" i="13"/>
  <c r="J1348" i="13"/>
  <c r="E6" i="7"/>
  <c r="F15" i="3"/>
  <c r="E91" i="3"/>
  <c r="F26" i="3"/>
  <c r="H36" i="3"/>
  <c r="H37" i="3"/>
  <c r="E4" i="7"/>
  <c r="D37" i="3"/>
  <c r="D27" i="3"/>
  <c r="H25" i="6"/>
  <c r="M87" i="13"/>
  <c r="J324" i="13"/>
  <c r="J1530" i="13"/>
  <c r="J916" i="13"/>
  <c r="D23" i="6"/>
  <c r="J1401" i="13"/>
  <c r="J1768" i="13"/>
  <c r="D17" i="3"/>
  <c r="J1106" i="13"/>
  <c r="J692" i="13"/>
  <c r="J1454" i="13"/>
  <c r="H23" i="6"/>
  <c r="I23" i="6"/>
  <c r="J882" i="13"/>
  <c r="D27" i="6"/>
  <c r="J643" i="13"/>
  <c r="J308" i="13"/>
  <c r="J87" i="13"/>
  <c r="J722" i="13"/>
  <c r="J819" i="13"/>
  <c r="J785" i="13"/>
  <c r="J1205" i="13"/>
  <c r="D18" i="6"/>
  <c r="H16" i="6"/>
  <c r="J1577" i="13"/>
  <c r="K934" i="13"/>
  <c r="H20" i="6"/>
  <c r="D16" i="6"/>
  <c r="J1336" i="13"/>
  <c r="D24" i="6"/>
  <c r="D30" i="6"/>
  <c r="D17" i="6"/>
  <c r="F27" i="6"/>
  <c r="F16" i="6"/>
  <c r="H29" i="6"/>
  <c r="I29" i="6"/>
  <c r="F29" i="6"/>
  <c r="E29" i="6"/>
  <c r="F21" i="6"/>
  <c r="J487" i="13"/>
  <c r="F26" i="6"/>
  <c r="J27" i="13"/>
  <c r="F25" i="6"/>
  <c r="J1376" i="13"/>
  <c r="D19" i="11"/>
  <c r="G607" i="13"/>
  <c r="H1217" i="13"/>
  <c r="G1749" i="13"/>
  <c r="G352" i="13"/>
  <c r="K1624" i="13"/>
  <c r="E61" i="9"/>
  <c r="H1624" i="13"/>
  <c r="E90" i="9"/>
  <c r="F90" i="9"/>
  <c r="G16" i="12"/>
  <c r="D32" i="9"/>
  <c r="D106" i="9"/>
  <c r="E26" i="9"/>
  <c r="J16" i="12"/>
  <c r="J22" i="12"/>
  <c r="E7" i="7"/>
  <c r="K16" i="12"/>
  <c r="H5" i="9"/>
  <c r="H7" i="9"/>
  <c r="J169" i="12"/>
  <c r="G18" i="9"/>
  <c r="I370" i="12"/>
  <c r="F22" i="9"/>
  <c r="I205" i="12"/>
  <c r="F19" i="9"/>
  <c r="F11" i="9"/>
  <c r="H207" i="13"/>
  <c r="J288" i="13"/>
  <c r="J1325" i="13"/>
  <c r="C3" i="17"/>
  <c r="C16" i="17"/>
  <c r="E60" i="9"/>
  <c r="L1217" i="13"/>
  <c r="L1352" i="13"/>
  <c r="F58" i="9"/>
  <c r="M197" i="13"/>
  <c r="G40" i="9"/>
  <c r="M1352" i="13"/>
  <c r="G58" i="9"/>
  <c r="M1780" i="13"/>
  <c r="G69" i="9"/>
  <c r="H156" i="13"/>
  <c r="H230" i="13"/>
  <c r="G512" i="13"/>
  <c r="G197" i="13"/>
  <c r="H41" i="9"/>
  <c r="L197" i="13"/>
  <c r="F40" i="9"/>
  <c r="J1217" i="13"/>
  <c r="H288" i="13"/>
  <c r="D62" i="9"/>
  <c r="E100" i="9"/>
  <c r="F100" i="9"/>
  <c r="K207" i="13"/>
  <c r="E41" i="9"/>
  <c r="D15" i="9"/>
  <c r="D92" i="9"/>
  <c r="K61" i="12"/>
  <c r="G370" i="12"/>
  <c r="D22" i="9"/>
  <c r="D99" i="9"/>
  <c r="D11" i="9"/>
  <c r="D86" i="9"/>
  <c r="I16" i="12"/>
  <c r="K370" i="12"/>
  <c r="H22" i="9"/>
  <c r="J205" i="12"/>
  <c r="H12" i="9"/>
  <c r="G5" i="9"/>
  <c r="G7" i="9"/>
  <c r="G28" i="9"/>
  <c r="J399" i="12"/>
  <c r="F9" i="9"/>
  <c r="H29" i="9"/>
  <c r="K399" i="12"/>
  <c r="D84" i="9"/>
  <c r="E28" i="6"/>
  <c r="E19" i="6"/>
  <c r="G39" i="9"/>
  <c r="J542" i="13"/>
  <c r="J1034" i="13"/>
  <c r="J602" i="13"/>
  <c r="J607" i="13"/>
  <c r="D52" i="9"/>
  <c r="E91" i="9"/>
  <c r="H24" i="6"/>
  <c r="J497" i="13"/>
  <c r="F24" i="6"/>
  <c r="D26" i="6"/>
  <c r="J343" i="13"/>
  <c r="J1623" i="13"/>
  <c r="J196" i="13"/>
  <c r="J197" i="13"/>
  <c r="D40" i="9"/>
  <c r="F249" i="29"/>
  <c r="D6" i="10"/>
  <c r="C36" i="9"/>
  <c r="E16" i="3"/>
  <c r="D92" i="3"/>
  <c r="E27" i="3"/>
  <c r="G27" i="3"/>
  <c r="G16" i="3"/>
  <c r="F92" i="3"/>
  <c r="F81" i="3"/>
  <c r="E36" i="3"/>
  <c r="E15" i="3"/>
  <c r="D91" i="3"/>
  <c r="D80" i="3"/>
  <c r="E26" i="3"/>
  <c r="D36" i="3"/>
  <c r="F80" i="3"/>
  <c r="J1624" i="13"/>
  <c r="D61" i="9"/>
  <c r="E99" i="9"/>
  <c r="C75" i="9"/>
  <c r="B109" i="9"/>
  <c r="E80" i="9"/>
  <c r="F80" i="9"/>
  <c r="E9" i="3"/>
  <c r="E10" i="3"/>
  <c r="E6" i="3"/>
  <c r="H18" i="3"/>
  <c r="H19" i="3"/>
  <c r="H21" i="3"/>
  <c r="H40" i="3"/>
  <c r="G93" i="3"/>
  <c r="N1596" i="13"/>
  <c r="H59" i="9"/>
  <c r="E20" i="6"/>
  <c r="D42" i="9"/>
  <c r="E82" i="9"/>
  <c r="F82" i="9"/>
  <c r="D20" i="3"/>
  <c r="F42" i="9"/>
  <c r="F20" i="3"/>
  <c r="F18" i="3"/>
  <c r="F19" i="3"/>
  <c r="F66" i="9"/>
  <c r="G42" i="9"/>
  <c r="G20" i="3"/>
  <c r="J207" i="13"/>
  <c r="D41" i="9"/>
  <c r="E81" i="9"/>
  <c r="F81" i="9"/>
  <c r="G1001" i="13"/>
  <c r="K1001" i="13"/>
  <c r="E56" i="9"/>
  <c r="K1749" i="13"/>
  <c r="E68" i="9"/>
  <c r="E70" i="9"/>
  <c r="K1190" i="13"/>
  <c r="N1190" i="13"/>
  <c r="K156" i="13"/>
  <c r="K512" i="13"/>
  <c r="E49" i="9"/>
  <c r="J488" i="13"/>
  <c r="D48" i="9"/>
  <c r="E87" i="9"/>
  <c r="J1609" i="13"/>
  <c r="D60" i="9"/>
  <c r="E98" i="9"/>
  <c r="F98" i="9"/>
  <c r="L607" i="13"/>
  <c r="F52" i="9"/>
  <c r="M1190" i="13"/>
  <c r="M1326" i="13"/>
  <c r="G57" i="9"/>
  <c r="M1624" i="13"/>
  <c r="G61" i="9"/>
  <c r="G1721" i="13"/>
  <c r="G1352" i="13"/>
  <c r="G1217" i="13"/>
  <c r="G1326" i="13"/>
  <c r="J1190" i="13"/>
  <c r="J1352" i="13"/>
  <c r="D58" i="9"/>
  <c r="E96" i="9"/>
  <c r="N1609" i="13"/>
  <c r="H60" i="9"/>
  <c r="N576" i="13"/>
  <c r="H50" i="9"/>
  <c r="N288" i="13"/>
  <c r="H1352" i="13"/>
  <c r="H1780" i="13"/>
  <c r="G1609" i="13"/>
  <c r="G156" i="13"/>
  <c r="G230" i="13"/>
  <c r="K396" i="13"/>
  <c r="E47" i="9"/>
  <c r="H1721" i="13"/>
  <c r="G1780" i="13"/>
  <c r="G488" i="13"/>
  <c r="G43" i="9"/>
  <c r="J1326" i="13"/>
  <c r="D57" i="9"/>
  <c r="E95" i="9"/>
  <c r="G229" i="13"/>
  <c r="N1749" i="13"/>
  <c r="H68" i="9"/>
  <c r="K352" i="13"/>
  <c r="E46" i="9"/>
  <c r="E54" i="9"/>
  <c r="L1190" i="13"/>
  <c r="L1326" i="13"/>
  <c r="F57" i="9"/>
  <c r="M576" i="13"/>
  <c r="G50" i="9"/>
  <c r="M1721" i="13"/>
  <c r="H1190" i="13"/>
  <c r="G288" i="13"/>
  <c r="J1596" i="13"/>
  <c r="D59" i="9"/>
  <c r="E97" i="9"/>
  <c r="K576" i="13"/>
  <c r="E50" i="9"/>
  <c r="J352" i="13"/>
  <c r="D46" i="9"/>
  <c r="E85" i="9"/>
  <c r="J576" i="13"/>
  <c r="N607" i="13"/>
  <c r="H52" i="9"/>
  <c r="L288" i="13"/>
  <c r="F45" i="9"/>
  <c r="F54" i="9"/>
  <c r="L488" i="13"/>
  <c r="F48" i="9"/>
  <c r="L512" i="13"/>
  <c r="F49" i="9"/>
  <c r="L576" i="13"/>
  <c r="F50" i="9"/>
  <c r="L1780" i="13"/>
  <c r="F69" i="9"/>
  <c r="K229" i="13"/>
  <c r="E20" i="3"/>
  <c r="J396" i="13"/>
  <c r="K1352" i="13"/>
  <c r="E58" i="9"/>
  <c r="N1001" i="13"/>
  <c r="H56" i="9"/>
  <c r="N396" i="13"/>
  <c r="H47" i="9"/>
  <c r="N1217" i="13"/>
  <c r="N1325" i="13"/>
  <c r="L1609" i="13"/>
  <c r="F60" i="9"/>
  <c r="M396" i="13"/>
  <c r="G47" i="9"/>
  <c r="M488" i="13"/>
  <c r="G48" i="9"/>
  <c r="M512" i="13"/>
  <c r="G49" i="9"/>
  <c r="H576" i="13"/>
  <c r="H611" i="13"/>
  <c r="H1001" i="13"/>
  <c r="G1325" i="13"/>
  <c r="D65" i="9"/>
  <c r="E102" i="9"/>
  <c r="D45" i="9"/>
  <c r="E84" i="9"/>
  <c r="F84" i="9"/>
  <c r="M611" i="13"/>
  <c r="G45" i="9"/>
  <c r="F99" i="9"/>
  <c r="H42" i="9"/>
  <c r="J1001" i="13"/>
  <c r="E42" i="9"/>
  <c r="H45" i="9"/>
  <c r="F70" i="9"/>
  <c r="K1325" i="13"/>
  <c r="K1326" i="13"/>
  <c r="D51" i="9"/>
  <c r="H1781" i="13"/>
  <c r="H1326" i="13"/>
  <c r="G611" i="13"/>
  <c r="N1780" i="13"/>
  <c r="J1721" i="13"/>
  <c r="D66" i="9"/>
  <c r="E103" i="9"/>
  <c r="K1781" i="13"/>
  <c r="G1781" i="13"/>
  <c r="F92" i="9"/>
  <c r="D8" i="17"/>
  <c r="F104" i="9"/>
  <c r="F105" i="9"/>
  <c r="H1596" i="13"/>
  <c r="H1641" i="13"/>
  <c r="K1596" i="13"/>
  <c r="E59" i="9"/>
  <c r="L156" i="13"/>
  <c r="L230" i="13"/>
  <c r="L1001" i="13"/>
  <c r="M230" i="13"/>
  <c r="G1596" i="13"/>
  <c r="F85" i="9"/>
  <c r="G18" i="3"/>
  <c r="G19" i="3"/>
  <c r="F91" i="9"/>
  <c r="J1780" i="13"/>
  <c r="I26" i="6"/>
  <c r="I28" i="6"/>
  <c r="G83" i="3"/>
  <c r="E84" i="3"/>
  <c r="H9" i="3"/>
  <c r="H10" i="3"/>
  <c r="H6" i="3"/>
  <c r="H11" i="3"/>
  <c r="H28" i="3"/>
  <c r="D84" i="3"/>
  <c r="J362" i="12"/>
  <c r="G21" i="9"/>
  <c r="E79" i="9"/>
  <c r="D43" i="9"/>
  <c r="E39" i="9"/>
  <c r="K230" i="13"/>
  <c r="H39" i="9"/>
  <c r="J230" i="13"/>
  <c r="G62" i="9"/>
  <c r="E26" i="6"/>
  <c r="I20" i="6"/>
  <c r="I18" i="6"/>
  <c r="F17" i="8"/>
  <c r="F18" i="8"/>
  <c r="F9" i="8"/>
  <c r="F16" i="8"/>
  <c r="F11" i="8"/>
  <c r="F15" i="8"/>
  <c r="F13" i="8"/>
  <c r="F14" i="8"/>
  <c r="F8" i="8"/>
  <c r="D103" i="9"/>
  <c r="D30" i="9"/>
  <c r="F12" i="9"/>
  <c r="F16" i="9"/>
  <c r="I81" i="12"/>
  <c r="D21" i="9"/>
  <c r="D97" i="9"/>
  <c r="D19" i="9"/>
  <c r="D95" i="9"/>
  <c r="F95" i="9"/>
  <c r="H81" i="12"/>
  <c r="E12" i="9"/>
  <c r="F18" i="9"/>
  <c r="I377" i="12"/>
  <c r="H30" i="9"/>
  <c r="G30" i="9"/>
  <c r="J81" i="12"/>
  <c r="K169" i="12"/>
  <c r="H18" i="9"/>
  <c r="H24" i="9"/>
  <c r="H205" i="12"/>
  <c r="F7" i="8"/>
  <c r="G399" i="12"/>
  <c r="I399" i="12"/>
  <c r="H370" i="12"/>
  <c r="E22" i="9"/>
  <c r="J377" i="12"/>
  <c r="J414" i="12"/>
  <c r="G19" i="9"/>
  <c r="G24" i="9"/>
  <c r="G33" i="9"/>
  <c r="K81" i="12"/>
  <c r="G61" i="12"/>
  <c r="F40" i="7"/>
  <c r="D101" i="9"/>
  <c r="E7" i="9"/>
  <c r="D5" i="9"/>
  <c r="D7" i="9"/>
  <c r="E6" i="9"/>
  <c r="H22" i="12"/>
  <c r="K377" i="12"/>
  <c r="H377" i="12"/>
  <c r="E19" i="9"/>
  <c r="E24" i="9"/>
  <c r="F83" i="3"/>
  <c r="F102" i="9"/>
  <c r="F24" i="9"/>
  <c r="G169" i="12"/>
  <c r="E16" i="9"/>
  <c r="K22" i="12"/>
  <c r="E11" i="3"/>
  <c r="E28" i="3"/>
  <c r="F5" i="9"/>
  <c r="F7" i="9"/>
  <c r="I22" i="12"/>
  <c r="G22" i="12"/>
  <c r="E27" i="9"/>
  <c r="E30" i="9"/>
  <c r="H399" i="12"/>
  <c r="H16" i="9"/>
  <c r="E45" i="7"/>
  <c r="F6" i="7"/>
  <c r="G9" i="3"/>
  <c r="G10" i="3"/>
  <c r="G6" i="3"/>
  <c r="F19" i="7"/>
  <c r="F17" i="7"/>
  <c r="F10" i="7"/>
  <c r="F30" i="9"/>
  <c r="G16" i="9"/>
  <c r="G210" i="12"/>
  <c r="D9" i="3"/>
  <c r="E83" i="3"/>
  <c r="F10" i="8"/>
  <c r="F12" i="8"/>
  <c r="F84" i="3"/>
  <c r="F10" i="3"/>
  <c r="F6" i="3"/>
  <c r="E23" i="6"/>
  <c r="J611" i="13"/>
  <c r="D69" i="9"/>
  <c r="E106" i="9"/>
  <c r="J1781" i="13"/>
  <c r="E22" i="6"/>
  <c r="I16" i="6"/>
  <c r="E27" i="6"/>
  <c r="F93" i="3"/>
  <c r="D93" i="3"/>
  <c r="E18" i="6"/>
  <c r="E93" i="3"/>
  <c r="I22" i="6"/>
  <c r="D50" i="9"/>
  <c r="D18" i="3"/>
  <c r="E16" i="6"/>
  <c r="I27" i="6"/>
  <c r="E25" i="6"/>
  <c r="E21" i="6"/>
  <c r="I21" i="6"/>
  <c r="J1641" i="13"/>
  <c r="G1782" i="13"/>
  <c r="H54" i="9"/>
  <c r="L1781" i="13"/>
  <c r="M1781" i="13"/>
  <c r="G66" i="9"/>
  <c r="G70" i="9"/>
  <c r="N1326" i="13"/>
  <c r="G63" i="9"/>
  <c r="N611" i="13"/>
  <c r="H43" i="9"/>
  <c r="L611" i="13"/>
  <c r="K611" i="13"/>
  <c r="F97" i="9"/>
  <c r="M1641" i="13"/>
  <c r="M1782" i="13"/>
  <c r="D47" i="9"/>
  <c r="E86" i="9"/>
  <c r="F86" i="9"/>
  <c r="F96" i="3"/>
  <c r="E96" i="3"/>
  <c r="F17" i="6"/>
  <c r="G96" i="3"/>
  <c r="H1782" i="13"/>
  <c r="G1641" i="13"/>
  <c r="F39" i="9"/>
  <c r="F43" i="9"/>
  <c r="G54" i="9"/>
  <c r="E57" i="9"/>
  <c r="E63" i="9"/>
  <c r="K1641" i="13"/>
  <c r="K1782" i="13"/>
  <c r="D56" i="9"/>
  <c r="F103" i="9"/>
  <c r="G71" i="9"/>
  <c r="E43" i="9"/>
  <c r="D13" i="17"/>
  <c r="D14" i="17"/>
  <c r="D28" i="17"/>
  <c r="D27" i="17"/>
  <c r="J1782" i="13"/>
  <c r="D70" i="9"/>
  <c r="H69" i="9"/>
  <c r="H70" i="9"/>
  <c r="N1781" i="13"/>
  <c r="F56" i="9"/>
  <c r="F63" i="9"/>
  <c r="L1641" i="13"/>
  <c r="L1782" i="13"/>
  <c r="E18" i="3"/>
  <c r="E19" i="3"/>
  <c r="E21" i="3"/>
  <c r="E40" i="3"/>
  <c r="D96" i="3"/>
  <c r="I414" i="12"/>
  <c r="E77" i="9"/>
  <c r="F79" i="9"/>
  <c r="H39" i="3"/>
  <c r="F21" i="3"/>
  <c r="F40" i="3"/>
  <c r="H38" i="3"/>
  <c r="H41" i="3"/>
  <c r="H42" i="3"/>
  <c r="G21" i="3"/>
  <c r="F33" i="9"/>
  <c r="H414" i="12"/>
  <c r="H31" i="3"/>
  <c r="F32" i="7"/>
  <c r="H33" i="9"/>
  <c r="K414" i="12"/>
  <c r="D12" i="9"/>
  <c r="G81" i="12"/>
  <c r="E33" i="9"/>
  <c r="G11" i="3"/>
  <c r="G28" i="3"/>
  <c r="D20" i="9"/>
  <c r="D96" i="9"/>
  <c r="F96" i="9"/>
  <c r="E29" i="3"/>
  <c r="E30" i="3"/>
  <c r="E31" i="3"/>
  <c r="G31" i="3"/>
  <c r="E85" i="3"/>
  <c r="G85" i="3"/>
  <c r="F85" i="3"/>
  <c r="D10" i="3"/>
  <c r="D6" i="3"/>
  <c r="D85" i="3"/>
  <c r="F11" i="3"/>
  <c r="F12" i="7"/>
  <c r="F43" i="7"/>
  <c r="F33" i="7"/>
  <c r="F20" i="7"/>
  <c r="F9" i="7"/>
  <c r="F41" i="7"/>
  <c r="F44" i="7"/>
  <c r="F28" i="7"/>
  <c r="F29" i="7"/>
  <c r="F24" i="7"/>
  <c r="F7" i="7"/>
  <c r="F34" i="7"/>
  <c r="F37" i="7"/>
  <c r="F16" i="7"/>
  <c r="F18" i="7"/>
  <c r="F8" i="7"/>
  <c r="F23" i="7"/>
  <c r="F39" i="7"/>
  <c r="F25" i="7"/>
  <c r="F36" i="7"/>
  <c r="F31" i="7"/>
  <c r="F13" i="7"/>
  <c r="F35" i="7"/>
  <c r="F27" i="7"/>
  <c r="F22" i="7"/>
  <c r="F26" i="7"/>
  <c r="F21" i="7"/>
  <c r="F15" i="7"/>
  <c r="F38" i="7"/>
  <c r="F42" i="7"/>
  <c r="F14" i="7"/>
  <c r="F11" i="7"/>
  <c r="F30" i="7"/>
  <c r="G377" i="12"/>
  <c r="D18" i="9"/>
  <c r="H22" i="3"/>
  <c r="H30" i="3"/>
  <c r="H29" i="3"/>
  <c r="H32" i="3"/>
  <c r="H33" i="3"/>
  <c r="F19" i="8"/>
  <c r="F106" i="9"/>
  <c r="E101" i="9"/>
  <c r="E89" i="9"/>
  <c r="G94" i="3"/>
  <c r="D19" i="3"/>
  <c r="F94" i="3"/>
  <c r="E94" i="3"/>
  <c r="F71" i="9"/>
  <c r="N1782" i="13"/>
  <c r="D54" i="9"/>
  <c r="H57" i="9"/>
  <c r="H63" i="9"/>
  <c r="N1641" i="13"/>
  <c r="F101" i="9"/>
  <c r="E17" i="6"/>
  <c r="I17" i="6"/>
  <c r="H71" i="9"/>
  <c r="E71" i="9"/>
  <c r="E94" i="9"/>
  <c r="E93" i="9"/>
  <c r="D63" i="9"/>
  <c r="D71" i="9"/>
  <c r="D94" i="3"/>
  <c r="E22" i="3"/>
  <c r="E41" i="3"/>
  <c r="E42" i="3"/>
  <c r="E39" i="3"/>
  <c r="E38" i="3"/>
  <c r="F41" i="3"/>
  <c r="F42" i="3"/>
  <c r="F38" i="3"/>
  <c r="F39" i="3"/>
  <c r="G41" i="3"/>
  <c r="G38" i="3"/>
  <c r="G39" i="3"/>
  <c r="G40" i="3"/>
  <c r="D87" i="9"/>
  <c r="D16" i="9"/>
  <c r="G414" i="12"/>
  <c r="F45" i="7"/>
  <c r="D94" i="9"/>
  <c r="D24" i="9"/>
  <c r="D33" i="9"/>
  <c r="E86" i="3"/>
  <c r="D86" i="3"/>
  <c r="F86" i="3"/>
  <c r="G86" i="3"/>
  <c r="F78" i="9"/>
  <c r="F77" i="9"/>
  <c r="F30" i="3"/>
  <c r="F22" i="3"/>
  <c r="F29" i="3"/>
  <c r="F31" i="3"/>
  <c r="E32" i="3"/>
  <c r="E33" i="3"/>
  <c r="F28" i="3"/>
  <c r="G22" i="3"/>
  <c r="G29" i="3"/>
  <c r="G30" i="3"/>
  <c r="E83" i="9"/>
  <c r="E107" i="9"/>
  <c r="F89" i="9"/>
  <c r="D21" i="3"/>
  <c r="D40" i="3"/>
  <c r="D95" i="3"/>
  <c r="G95" i="3"/>
  <c r="E95" i="3"/>
  <c r="F95" i="3"/>
  <c r="G42" i="3"/>
  <c r="G32" i="3"/>
  <c r="G33" i="3"/>
  <c r="F87" i="9"/>
  <c r="F83" i="9"/>
  <c r="D83" i="9"/>
  <c r="D93" i="9"/>
  <c r="D107" i="9"/>
  <c r="F94" i="9"/>
  <c r="F93" i="9"/>
  <c r="F32" i="3"/>
  <c r="F33" i="3"/>
  <c r="F82" i="3"/>
  <c r="D82" i="3"/>
  <c r="E82" i="3"/>
  <c r="D11" i="3"/>
  <c r="D22" i="3"/>
  <c r="G82" i="3"/>
  <c r="F97" i="3"/>
  <c r="D97" i="3"/>
  <c r="D38" i="3"/>
  <c r="D41" i="3"/>
  <c r="D42" i="3"/>
  <c r="E97" i="3"/>
  <c r="G97" i="3"/>
  <c r="D39" i="3"/>
  <c r="F107" i="9"/>
  <c r="D28" i="3"/>
  <c r="L20" i="3"/>
  <c r="G18" i="8"/>
  <c r="G14" i="8"/>
  <c r="F87" i="3"/>
  <c r="G29" i="7"/>
  <c r="G11" i="7"/>
  <c r="G10" i="7"/>
  <c r="G33" i="7"/>
  <c r="G12" i="7"/>
  <c r="G35" i="7"/>
  <c r="G6" i="7"/>
  <c r="G14" i="7"/>
  <c r="G15" i="7"/>
  <c r="G41" i="7"/>
  <c r="G9" i="7"/>
  <c r="G34" i="7"/>
  <c r="G13" i="8"/>
  <c r="G87" i="3"/>
  <c r="G15" i="8"/>
  <c r="G13" i="7"/>
  <c r="G16" i="8"/>
  <c r="G8" i="8"/>
  <c r="G42" i="7"/>
  <c r="G26" i="7"/>
  <c r="G11" i="8"/>
  <c r="G7" i="7"/>
  <c r="G17" i="7"/>
  <c r="G28" i="7"/>
  <c r="G22" i="7"/>
  <c r="G25" i="7"/>
  <c r="G39" i="7"/>
  <c r="G9" i="8"/>
  <c r="G31" i="7"/>
  <c r="G12" i="8"/>
  <c r="E87" i="3"/>
  <c r="G17" i="8"/>
  <c r="D29" i="3"/>
  <c r="G16" i="7"/>
  <c r="D87" i="3"/>
  <c r="G38" i="7"/>
  <c r="G27" i="7"/>
  <c r="G32" i="7"/>
  <c r="G43" i="7"/>
  <c r="G18" i="7"/>
  <c r="G24" i="7"/>
  <c r="G36" i="7"/>
  <c r="G44" i="7"/>
  <c r="G20" i="7"/>
  <c r="G23" i="7"/>
  <c r="G7" i="8"/>
  <c r="G21" i="7"/>
  <c r="G37" i="7"/>
  <c r="G8" i="7"/>
  <c r="G10" i="8"/>
  <c r="G40" i="7"/>
  <c r="G30" i="7"/>
  <c r="G19" i="7"/>
  <c r="D30" i="3"/>
  <c r="D31" i="3"/>
  <c r="D32" i="3"/>
  <c r="D33" i="3"/>
  <c r="G45" i="7"/>
  <c r="G19" i="8"/>
  <c r="G7" i="11"/>
  <c r="G13" i="11"/>
  <c r="G6" i="11"/>
  <c r="G10" i="11"/>
  <c r="F23" i="11"/>
  <c r="G11" i="11"/>
  <c r="G12" i="11"/>
  <c r="G17" i="11"/>
  <c r="G15" i="11"/>
  <c r="G9" i="11"/>
  <c r="G14" i="11"/>
  <c r="G5" i="11"/>
  <c r="G8" i="11"/>
  <c r="G16" i="11"/>
  <c r="I24" i="6"/>
  <c r="I25" i="6"/>
  <c r="I30" i="6"/>
  <c r="D32" i="6"/>
  <c r="H30" i="6"/>
  <c r="E24" i="6"/>
  <c r="E30" i="6"/>
  <c r="E32" i="6"/>
  <c r="F30" i="6"/>
  <c r="G19" i="11"/>
  <c r="G31" i="6"/>
  <c r="G28" i="6"/>
  <c r="G26" i="6"/>
  <c r="G29" i="6"/>
  <c r="G27" i="6"/>
  <c r="G19" i="6"/>
  <c r="G20" i="6"/>
  <c r="G23" i="6"/>
  <c r="G25" i="6"/>
  <c r="G17" i="6"/>
  <c r="G22" i="6"/>
  <c r="G16" i="6"/>
  <c r="F32" i="6"/>
  <c r="G21" i="6"/>
  <c r="G18" i="6"/>
  <c r="G24" i="6"/>
  <c r="G30" i="6"/>
</calcChain>
</file>

<file path=xl/sharedStrings.xml><?xml version="1.0" encoding="utf-8"?>
<sst xmlns="http://schemas.openxmlformats.org/spreadsheetml/2006/main" count="7324" uniqueCount="2400">
  <si>
    <t>סה"כ - מפעלים ונכסים:</t>
  </si>
  <si>
    <t>שרותי חברה, רווחה וקהילה:</t>
  </si>
  <si>
    <t>סה"כ - מוקד עירוני:</t>
  </si>
  <si>
    <t>7621.</t>
  </si>
  <si>
    <t xml:space="preserve">הדבקת מודעות </t>
  </si>
  <si>
    <t>צריכת מים - השקיית גינות צבוריות</t>
  </si>
  <si>
    <t>חומרי דישון והדברה</t>
  </si>
  <si>
    <t>פיתוח כלכלי</t>
  </si>
  <si>
    <t>רזרבת ר' האגף להוצאות ב"צ</t>
  </si>
  <si>
    <t>סה"כ - פיקוח על חוקי העזר:</t>
  </si>
  <si>
    <t>782.</t>
  </si>
  <si>
    <t>בית המשפט העירוני</t>
  </si>
  <si>
    <t>סה"כ -  בית המשפט העירוני:</t>
  </si>
  <si>
    <t>סה"כ  -פיקוח עירוני:</t>
  </si>
  <si>
    <t>שרותים ממלכתיים:</t>
  </si>
  <si>
    <t>חינוך:</t>
  </si>
  <si>
    <t>תרבות, נוער וספורט:</t>
  </si>
  <si>
    <t>בריאות:</t>
  </si>
  <si>
    <t>נכסים צבוריים (כולל חופי רחצה)</t>
  </si>
  <si>
    <t>הוצאות לפעולות ושוטפות</t>
  </si>
  <si>
    <t>811.</t>
  </si>
  <si>
    <t>מינהל אגף החינוך</t>
  </si>
  <si>
    <t xml:space="preserve">אחזקת ציוד ומזגנים במוסדות חינוך </t>
  </si>
  <si>
    <t>818.</t>
  </si>
  <si>
    <t>השכלת מבוגרים - תהילה, הנח' הלשון, תיכונית וקתדרה עממית</t>
  </si>
  <si>
    <t>82.</t>
  </si>
  <si>
    <t>821.</t>
  </si>
  <si>
    <t xml:space="preserve">פיצויים שונים, שיפוי על נזקים והשתתפות עצמית </t>
  </si>
  <si>
    <t xml:space="preserve">משכורות כוללות - מינהלה </t>
  </si>
  <si>
    <t xml:space="preserve">הוצאות להפעלת יוזמות ופרוייקטים פדגוגיים </t>
  </si>
  <si>
    <t>8221.</t>
  </si>
  <si>
    <t>המרכז החדש</t>
  </si>
  <si>
    <t>אולפנים וכיתות קלט</t>
  </si>
  <si>
    <t>הוצאות בגין חגיגת המימונה</t>
  </si>
  <si>
    <t>844.</t>
  </si>
  <si>
    <t>סה"כ - מים:</t>
  </si>
  <si>
    <t>93.</t>
  </si>
  <si>
    <t>תמיכה בתנועות נוער</t>
  </si>
  <si>
    <t xml:space="preserve">הוצאות מיכון  </t>
  </si>
  <si>
    <t>ל ת ש ל ו מ י ם</t>
  </si>
  <si>
    <t>הסעיף</t>
  </si>
  <si>
    <t>אגף</t>
  </si>
  <si>
    <t>ס</t>
  </si>
  <si>
    <t>&lt;400</t>
  </si>
  <si>
    <t>ג</t>
  </si>
  <si>
    <t>הוצאות שוטפות - אילנות</t>
  </si>
  <si>
    <t xml:space="preserve">אחזקת רכב ייעודי </t>
  </si>
  <si>
    <t>הוצאות אחרות ורזרבת מנהל אגף (כולל ייעוץ ושרותים מקצועיים)</t>
  </si>
  <si>
    <t>רווחה</t>
  </si>
  <si>
    <t xml:space="preserve">רשות החופים </t>
  </si>
  <si>
    <t>סה"כ תשלומים :</t>
  </si>
  <si>
    <t xml:space="preserve">מימון פרע"מ ניקוז מהיטלי תיעול (ניקוז) ומהיטלי השבחה </t>
  </si>
  <si>
    <t xml:space="preserve">הוצאות חשמל  </t>
  </si>
  <si>
    <t xml:space="preserve">נסיעות ומלגות עפ"י קריטריונים </t>
  </si>
  <si>
    <t>אגרת רשיונות לכלבים</t>
  </si>
  <si>
    <t>ארנונות:</t>
  </si>
  <si>
    <t>אגרות:</t>
  </si>
  <si>
    <t>שרותים מקומיים:</t>
  </si>
  <si>
    <t xml:space="preserve">הוצאות שתייה וכיבוד - כללי </t>
  </si>
  <si>
    <t xml:space="preserve">רזרבת רה"ע  </t>
  </si>
  <si>
    <t>82953.</t>
  </si>
  <si>
    <t>מועדון שחמט</t>
  </si>
  <si>
    <t>סה"כ - מועדון שחמט:</t>
  </si>
  <si>
    <t>סה"כ - הוצאות לקליטה בחינוך:</t>
  </si>
  <si>
    <t>869.</t>
  </si>
  <si>
    <t>843.</t>
  </si>
  <si>
    <t>התפלגות</t>
  </si>
  <si>
    <t>שכר + פעולות</t>
  </si>
  <si>
    <t>האגף / מהות</t>
  </si>
  <si>
    <t>שכר</t>
  </si>
  <si>
    <t>פעולות</t>
  </si>
  <si>
    <t>סה"כ</t>
  </si>
  <si>
    <t>ב- %</t>
  </si>
  <si>
    <t>גמיש</t>
  </si>
  <si>
    <t>קשיח</t>
  </si>
  <si>
    <t>מינהל כללי</t>
  </si>
  <si>
    <t>מינהל כספי</t>
  </si>
  <si>
    <t>מדידות ותכנון חוץ</t>
  </si>
  <si>
    <t xml:space="preserve">יח' מטה למיחשוב </t>
  </si>
  <si>
    <t>עובדים מושאלים לתאגיד המים</t>
  </si>
  <si>
    <t>סה"כ  - שרותים לילד ולנוער:</t>
  </si>
  <si>
    <t>תמצית תקציב הועדה המרחבית:</t>
  </si>
  <si>
    <t xml:space="preserve">שכר אחראים למשק ותחזוקה </t>
  </si>
  <si>
    <t>מינהל תנו"ס</t>
  </si>
  <si>
    <t>השתתפות באיגודי ערים:</t>
  </si>
  <si>
    <t>מינהל הרווחה</t>
  </si>
  <si>
    <t>משמר אזרחי</t>
  </si>
  <si>
    <t>רווחת הפרט והמשפחה</t>
  </si>
  <si>
    <t xml:space="preserve">הקצבות שוטפות להפעלת המתנ"ס בשכונה </t>
  </si>
  <si>
    <t xml:space="preserve">השתתפות בפעולות הג"א ארצי </t>
  </si>
  <si>
    <t>חטיבות ביניים</t>
  </si>
  <si>
    <t>הוצאות שכר</t>
  </si>
  <si>
    <t>ריכוז הוצאות לשכר ופעולות  - בחתך אגפי</t>
  </si>
  <si>
    <t>השתתפות ברשויות ניקוז: ירקון ושרון</t>
  </si>
  <si>
    <t>איכות הסביבה:</t>
  </si>
  <si>
    <t>מים:</t>
  </si>
  <si>
    <t>רכישת ציוד יסודי לבתי"ס וגנ"י</t>
  </si>
  <si>
    <t>תחזוקת אולמות ומתקני ספורט - כללי  (אולמות גדולים בנפרד)</t>
  </si>
  <si>
    <t xml:space="preserve">שרותי אחזקה חיצוניים לעבודות גינון בגנ"י ובבתי"ס שאינם בניהול עצמי </t>
  </si>
  <si>
    <t>סה"כ - פיתוח כלכלי:</t>
  </si>
  <si>
    <t>פרעון מלוות לפיתוח אחר</t>
  </si>
  <si>
    <t>הנחות וסיוע לתלמידים במערכת החינוך</t>
  </si>
  <si>
    <t>(סיוע לתלמידים נזקקים (ועדת הנחות כולל נסיעות</t>
  </si>
  <si>
    <t>הוצאות צריכת מים ואגרת ביוב</t>
  </si>
  <si>
    <t>מועדון גמלאים גיל הזהב</t>
  </si>
  <si>
    <t>סה"כ - מועדון  גמלאים גיל הזהב:</t>
  </si>
  <si>
    <t>הכנסות מועדון שחמט</t>
  </si>
  <si>
    <t>מכון הטיהור</t>
  </si>
  <si>
    <t xml:space="preserve">השתתפות הורים במימון הסעים  </t>
  </si>
  <si>
    <t xml:space="preserve">אחזקת ציוד </t>
  </si>
  <si>
    <t>שרותים ממלכתיים</t>
  </si>
  <si>
    <t>31.</t>
  </si>
  <si>
    <t>ח י נ ו ך</t>
  </si>
  <si>
    <t>312.</t>
  </si>
  <si>
    <t>חינוך קדם יסודי</t>
  </si>
  <si>
    <t>הוצאות לפעולות - ועדת נגישות</t>
  </si>
  <si>
    <t>סה"כ - מפת"ן "ארז":</t>
  </si>
  <si>
    <t>שכר פנימיות יום</t>
  </si>
  <si>
    <t>הפעלת פנימיות יום</t>
  </si>
  <si>
    <t>ציוד חירום לארועים</t>
  </si>
  <si>
    <t>הוצאות מיכון (בית משפט)</t>
  </si>
  <si>
    <t>מופעים בפארק</t>
  </si>
  <si>
    <t>הכנסות שונות</t>
  </si>
  <si>
    <t>שרותים שונים:</t>
  </si>
  <si>
    <t>ריכוז תמיכות, הקצבות והשתתפויות:</t>
  </si>
  <si>
    <t>תברואה:</t>
  </si>
  <si>
    <t>תכנון ובניין עיר:</t>
  </si>
  <si>
    <t>נכסים צבוריים:</t>
  </si>
  <si>
    <t>הכנסות שונות:</t>
  </si>
  <si>
    <t>פיקוח עירוני:</t>
  </si>
  <si>
    <t>שרותים חקלאיים:</t>
  </si>
  <si>
    <t>פרוט תקבולים - המשך:</t>
  </si>
  <si>
    <t>עבודות קבלניות - כללי</t>
  </si>
  <si>
    <t>העסקה באמצעות חברת השמה</t>
  </si>
  <si>
    <t>תחזוקת היער העירוני</t>
  </si>
  <si>
    <t>מערכת לניהול צי רכב</t>
  </si>
  <si>
    <t>סה"כ  - מל"ח ופס"ח:</t>
  </si>
  <si>
    <t>8233.</t>
  </si>
  <si>
    <t>אתלטיקה - גורדון</t>
  </si>
  <si>
    <t>8419.</t>
  </si>
  <si>
    <t>פנסיה ופיצויים - רווחה</t>
  </si>
  <si>
    <t xml:space="preserve">הוצאות משרד ושונות </t>
  </si>
  <si>
    <t>תיקונים ואחזקה - ציוד דפוס ושכפול</t>
  </si>
  <si>
    <t>9383.</t>
  </si>
  <si>
    <t>סה"כ - מאור רחובות וחשמל:</t>
  </si>
  <si>
    <t>744.</t>
  </si>
  <si>
    <t>טיפול במפגעים ושונות</t>
  </si>
  <si>
    <t>נבחרים:</t>
  </si>
  <si>
    <t>סה"כ - יחידת התחזוקה:</t>
  </si>
  <si>
    <t>9384.</t>
  </si>
  <si>
    <t>נציב תלונות הציבור</t>
  </si>
  <si>
    <t xml:space="preserve"> משכורות כוללות</t>
  </si>
  <si>
    <t>מינהל אגף שאיפ"ה</t>
  </si>
  <si>
    <t>סה"כ  - מינהל אגף שאיפ"ה:</t>
  </si>
  <si>
    <t xml:space="preserve">הוצאות שוטפות, שקיות אשפה, כלי אצירה </t>
  </si>
  <si>
    <t>סה"כ - מוסדות כלליים:</t>
  </si>
  <si>
    <t>766.</t>
  </si>
  <si>
    <t>ריכוז   ת ק ב ו ל י ם   לפי פרקים ראשיים</t>
  </si>
  <si>
    <t>הפרק</t>
  </si>
  <si>
    <t>1.</t>
  </si>
  <si>
    <t>:סה"כ - מיסים ואגרות</t>
  </si>
  <si>
    <t>2.</t>
  </si>
  <si>
    <t>:סה"כ - שרותים מקומיים</t>
  </si>
  <si>
    <t>3.</t>
  </si>
  <si>
    <t>:סה"כ - שרותים ממלכתיים</t>
  </si>
  <si>
    <t>4.</t>
  </si>
  <si>
    <t>:סה"כ - מפעלים ונכסים</t>
  </si>
  <si>
    <t xml:space="preserve">תיקונים ושיפוצים - נכסים עירוניים </t>
  </si>
  <si>
    <t>7461.</t>
  </si>
  <si>
    <t>נכסים</t>
  </si>
  <si>
    <t>בתי"ס יסודיים - הקצבות לניהול עצמי (סל לתלמיד)</t>
  </si>
  <si>
    <t>מועדון הנוער</t>
  </si>
  <si>
    <t>סה"כ גביית ארנונה:</t>
  </si>
  <si>
    <t>אירועים ודוברות:</t>
  </si>
  <si>
    <t xml:space="preserve">ספרים ועתונים </t>
  </si>
  <si>
    <t>ק</t>
  </si>
  <si>
    <t>סה"כ  - הנהלה כללית:</t>
  </si>
  <si>
    <t>612.</t>
  </si>
  <si>
    <t>מבקר העירייה</t>
  </si>
  <si>
    <t>בדיקת יכולת כלכלית של פונים לקבלת הנחות</t>
  </si>
  <si>
    <t>סה"כ  - שומה וגבייה:</t>
  </si>
  <si>
    <t>סה"כ - מינהל כספי:</t>
  </si>
  <si>
    <t>63.</t>
  </si>
  <si>
    <t>הוצאות מימון</t>
  </si>
  <si>
    <t>631.</t>
  </si>
  <si>
    <t>עמלות והוצאות בנקאיות</t>
  </si>
  <si>
    <t>שמאויות שונות ואיתור נאשמים</t>
  </si>
  <si>
    <t>סה"כ  - שרות משפטי:</t>
  </si>
  <si>
    <t>סה"כ מינהל כללי:</t>
  </si>
  <si>
    <t>62.</t>
  </si>
  <si>
    <t>621.</t>
  </si>
  <si>
    <t>גזברות</t>
  </si>
  <si>
    <t>הוצאות חשמל</t>
  </si>
  <si>
    <t>82457.</t>
  </si>
  <si>
    <t>ריבית על משיכות יתר, הפרשי הצמדה ושער</t>
  </si>
  <si>
    <t>אחזקת רכבים - תיפעולי</t>
  </si>
  <si>
    <t>פיצויים והסדרי פרישה לעובדים</t>
  </si>
  <si>
    <t>812.</t>
  </si>
  <si>
    <t>חינוך קדם יסודי - גני ילדים</t>
  </si>
  <si>
    <t xml:space="preserve">תיקונים ושיפוצים - כללי </t>
  </si>
  <si>
    <t>השתתפות משה"ח במועדוני ספורט בבתיה"ס היסודיים</t>
  </si>
  <si>
    <t>שיעור הגידול (נומינאלי) לעומת:</t>
  </si>
  <si>
    <t>סה"כ - תלמידי חוץ:</t>
  </si>
  <si>
    <t>81792.</t>
  </si>
  <si>
    <t>יום לימודים ארוך</t>
  </si>
  <si>
    <t>סה"כ - יום לימודים ארוך:</t>
  </si>
  <si>
    <t>ביטוח ופיצויים שונים - כללי</t>
  </si>
  <si>
    <t>(ביטוח אלמנטרי - מבנים, רכוש וציוד (אש</t>
  </si>
  <si>
    <t>'ביטוח צד ג</t>
  </si>
  <si>
    <t>75.</t>
  </si>
  <si>
    <t>קווי אינטרנט ותקשורת כלל עירוני</t>
  </si>
  <si>
    <t xml:space="preserve">שכר עובדי אחזקה </t>
  </si>
  <si>
    <t>מוסדות כלליים</t>
  </si>
  <si>
    <t>השתתפות בתקציב מרכז השלטון המקומי</t>
  </si>
  <si>
    <t xml:space="preserve">עבודות נקיון בקבלנות </t>
  </si>
  <si>
    <t>סה"כ - השתתפות בתקציב הבלתי רגיל:</t>
  </si>
  <si>
    <t>תמיכה לכוללים ומוסדות תורניים</t>
  </si>
  <si>
    <t>74.</t>
  </si>
  <si>
    <t>742.</t>
  </si>
  <si>
    <t>כבישים ומדרכות</t>
  </si>
  <si>
    <t>743.</t>
  </si>
  <si>
    <t>מאור רחובות וחשמל</t>
  </si>
  <si>
    <t>מאור רחובות</t>
  </si>
  <si>
    <t>מועדון בנחלת עדה</t>
  </si>
  <si>
    <t>סה"כ - מינהל הרווחה:</t>
  </si>
  <si>
    <t>342.</t>
  </si>
  <si>
    <t>הכנסות מימון מהסדרי תשלומים</t>
  </si>
  <si>
    <t>סה"כ - תשלומים בלתי רגילים:</t>
  </si>
  <si>
    <t>מרכז קהילתי בנוף-ים</t>
  </si>
  <si>
    <t>מרכז המוסיקה</t>
  </si>
  <si>
    <t>להקות זמר ומחול</t>
  </si>
  <si>
    <t>אגרת שמירה ואבטחה</t>
  </si>
  <si>
    <t>מיסים, מינהל ומימון</t>
  </si>
  <si>
    <t>:סה"כ</t>
  </si>
  <si>
    <t>הוצאות והכנסות בחתך עפ"י פרקים עיקריים - הצגה גרפית</t>
  </si>
  <si>
    <t xml:space="preserve"> משכורות כוללות - סייעות לגננות - חינוך מיוחד</t>
  </si>
  <si>
    <t>764.</t>
  </si>
  <si>
    <t>ארועים והוצאות אחרות</t>
  </si>
  <si>
    <t>765.</t>
  </si>
  <si>
    <t xml:space="preserve">הוצאות משרד ושוטפות  </t>
  </si>
  <si>
    <t>שרות כביסה לחיילים בסופי שבוע</t>
  </si>
  <si>
    <t>סה"כ - פעולות אימוץ:</t>
  </si>
  <si>
    <t>754.</t>
  </si>
  <si>
    <t>קשרים בינלאומיים</t>
  </si>
  <si>
    <t>שכר קשרי חוץ</t>
  </si>
  <si>
    <t>סה"כ - קשרים בינלאומיים:</t>
  </si>
  <si>
    <t>סה"כ  - שרותים למפגר:</t>
  </si>
  <si>
    <t>346.</t>
  </si>
  <si>
    <t>שרותי שיקום</t>
  </si>
  <si>
    <t xml:space="preserve">סימון כבישים ומעברי חצייה </t>
  </si>
  <si>
    <t>משכורות כוללות - פסיכולוגים</t>
  </si>
  <si>
    <t>משכורות כוללות - מזכירות</t>
  </si>
  <si>
    <t>שכר פסיכולוגית</t>
  </si>
  <si>
    <t>79.</t>
  </si>
  <si>
    <t>שרות וטרינרי</t>
  </si>
  <si>
    <t>5.</t>
  </si>
  <si>
    <t>1.- 5.</t>
  </si>
  <si>
    <t>:סה"כ - תקבולים</t>
  </si>
  <si>
    <t>התפלגות הוצאות לפי סעיפים עיקריים:</t>
  </si>
  <si>
    <t>אינטרנט בגנ"י ובבתי-ספר</t>
  </si>
  <si>
    <t>973.</t>
  </si>
  <si>
    <t>המכון לטיהור שפכים:</t>
  </si>
  <si>
    <t>תקבולים בלתי רגילים:</t>
  </si>
  <si>
    <t>עצמיות</t>
  </si>
  <si>
    <t>התקציב</t>
  </si>
  <si>
    <t>סה"כ ארנונה - לגבייה:</t>
  </si>
  <si>
    <t>11.</t>
  </si>
  <si>
    <t>ארנונה - הנחות (גם בהוצאות):</t>
  </si>
  <si>
    <t>מהנדס העיר</t>
  </si>
  <si>
    <t>השתתפות משרד החינוך לקבסי"ם</t>
  </si>
  <si>
    <t>ריכוז תקבולים לפי פרקים:</t>
  </si>
  <si>
    <t>ריכוז תשלומים לפי פרקים:</t>
  </si>
  <si>
    <t>הפרשה לקרן</t>
  </si>
  <si>
    <t>סה"כ - מינהל הספורט וכללי:</t>
  </si>
  <si>
    <t>8292.</t>
  </si>
  <si>
    <t>אצטדיון עירוני</t>
  </si>
  <si>
    <t>תחזוקה, בטחון ולוגיסטיקה</t>
  </si>
  <si>
    <t>8251.</t>
  </si>
  <si>
    <t>הצטיידות ותחזוקת מוס"ח</t>
  </si>
  <si>
    <t xml:space="preserve">תשלומים בלתי רגילים </t>
  </si>
  <si>
    <t>82925.</t>
  </si>
  <si>
    <t>998.</t>
  </si>
  <si>
    <t>סה"כ - שרותים ממלכתיים:</t>
  </si>
  <si>
    <t>615.</t>
  </si>
  <si>
    <t>ספרות מקצועית</t>
  </si>
  <si>
    <t xml:space="preserve">משכורות כוללות  </t>
  </si>
  <si>
    <t xml:space="preserve">ציוד משרדי שוטף </t>
  </si>
  <si>
    <t>ייעודיים -</t>
  </si>
  <si>
    <t>משרד החינוך:</t>
  </si>
  <si>
    <t>משרדי ממשלה אחרים:</t>
  </si>
  <si>
    <t>סה"כ משרדי ממשלה ייעודיים:</t>
  </si>
  <si>
    <t>סה"כ תקבולים:</t>
  </si>
  <si>
    <t>ת ש ל ו מ י ם  - באלפי ש"ח:</t>
  </si>
  <si>
    <t>שכר:</t>
  </si>
  <si>
    <t>פעולות:</t>
  </si>
  <si>
    <t>אלש"ח</t>
  </si>
  <si>
    <t>סה"כ:   שכר + פעולות</t>
  </si>
  <si>
    <t>ה ג " א</t>
  </si>
  <si>
    <t>הוצאות צריכת מים ואגרת ביוב - כללי</t>
  </si>
  <si>
    <t>אגרת פיקוח על מכירת מוצרים מן החי (בשר ודגים)</t>
  </si>
  <si>
    <t>84829.</t>
  </si>
  <si>
    <t>עזרה רפואית בקבלנות</t>
  </si>
  <si>
    <t>אחזקת מערכת מיחשוב השקיית גינות</t>
  </si>
  <si>
    <t xml:space="preserve">שימור גנים וחידוש צמחיה </t>
  </si>
  <si>
    <t>סה"כ  - גנים ונטיעות:</t>
  </si>
  <si>
    <t>7472.</t>
  </si>
  <si>
    <t>משכורות כוללות - מצילים ועוזרי מצילים</t>
  </si>
  <si>
    <t>(כלכלה, שתיה ואמצעי מיגון (משחות</t>
  </si>
  <si>
    <t>תיקונים ואחזקת מתקנים בחוף</t>
  </si>
  <si>
    <t>השתלמויות מצילים</t>
  </si>
  <si>
    <t>עבודות נקיון בקבלנות</t>
  </si>
  <si>
    <t>שוטרים בשכר</t>
  </si>
  <si>
    <t xml:space="preserve">פרעון מלוות:  </t>
  </si>
  <si>
    <t>חינוך קדם יסודי - גנ"י</t>
  </si>
  <si>
    <t xml:space="preserve">אבטחה בקבלנות </t>
  </si>
  <si>
    <t>פרעון מלוות לכבישים</t>
  </si>
  <si>
    <t>שכר מינהלה</t>
  </si>
  <si>
    <t>סה"כ - תרבות, נוער וספורט:</t>
  </si>
  <si>
    <t>83.</t>
  </si>
  <si>
    <t>831.</t>
  </si>
  <si>
    <t>נכסים ותחזוקה</t>
  </si>
  <si>
    <t>פרסומים ומכרזים</t>
  </si>
  <si>
    <t>שונות ורזרבה (כולל ספרות מקצועית וציוד משרדי)</t>
  </si>
  <si>
    <t>שכ"ט לשמאים  (במקביל בהכנסות בסעיף 230/591)</t>
  </si>
  <si>
    <t>81721.</t>
  </si>
  <si>
    <t>(הסדרי חנייה והוצ' אחרות (כולל איתור בעלי רכב</t>
  </si>
  <si>
    <t>סה"כ - רשות החנייה:</t>
  </si>
  <si>
    <t>מדידות נכסים לצורך חיוב ארנונה</t>
  </si>
  <si>
    <t>שכר ריכוז ועדות</t>
  </si>
  <si>
    <t>סה"כ - מפעל הביוב:</t>
  </si>
  <si>
    <t>99.</t>
  </si>
  <si>
    <t>993.</t>
  </si>
  <si>
    <t>הוצאות שנים קודמות</t>
  </si>
  <si>
    <t>"מפת"ן "ארז</t>
  </si>
  <si>
    <t>שכר שרת</t>
  </si>
  <si>
    <t>השתתפות משה"ח במועדוני ספורט בתיכונים</t>
  </si>
  <si>
    <t>329.</t>
  </si>
  <si>
    <t>ספורט</t>
  </si>
  <si>
    <t xml:space="preserve">הכנסות עצמיות: </t>
  </si>
  <si>
    <t>סיוע בהכנת פרופיל ורמת שירות של בתיה"ס</t>
  </si>
  <si>
    <t>6113.</t>
  </si>
  <si>
    <t>הנהלה כללית</t>
  </si>
  <si>
    <t>שכר דירה</t>
  </si>
  <si>
    <t>ציוד משרדי שוטף</t>
  </si>
  <si>
    <t>ספרים ועתונים</t>
  </si>
  <si>
    <t xml:space="preserve">משרד החינוך  לחומרי לימוד בגנ"י  </t>
  </si>
  <si>
    <t>9972.</t>
  </si>
  <si>
    <t>פנסיה ופיצויים</t>
  </si>
  <si>
    <t>^</t>
  </si>
  <si>
    <t>נספח - מפתח אגפי</t>
  </si>
  <si>
    <t>השתתפות משרד החינוך להסעים וליווי</t>
  </si>
  <si>
    <t>סה"כ - שרותים נוספים למערכת החינוך:</t>
  </si>
  <si>
    <t>הוצאות שוטפות - לב טוב</t>
  </si>
  <si>
    <t>76.</t>
  </si>
  <si>
    <t>שרותים שונים</t>
  </si>
  <si>
    <t>761.</t>
  </si>
  <si>
    <t>מוקד עירוני</t>
  </si>
  <si>
    <t>סבסוד תלמידי החינוך הדתי הלומדים מחוץ לעיר</t>
  </si>
  <si>
    <t>הוצאות מימון כרטיסי אשראי</t>
  </si>
  <si>
    <t>6481.</t>
  </si>
  <si>
    <t>תלמידי חוץ</t>
  </si>
  <si>
    <t>נקיון בקבלנות</t>
  </si>
  <si>
    <t>אחזקת רכב עירוני - מינהלי</t>
  </si>
  <si>
    <t>אזור התעשיה:</t>
  </si>
  <si>
    <t xml:space="preserve">החזרי הנחות לבתי"ס  </t>
  </si>
  <si>
    <t>סה"כ  - הוצאות מימון ביניים:</t>
  </si>
  <si>
    <t>ייעוץ ותכנון תנועה, תחבורה ורמזורים</t>
  </si>
  <si>
    <t>תקבולי ממשלה אחרים:</t>
  </si>
  <si>
    <t>סה"כ - השכלת מבוגרים:</t>
  </si>
  <si>
    <t>סה"כ - חינוך:</t>
  </si>
  <si>
    <t>32.</t>
  </si>
  <si>
    <t>תרבות, נוער וספורט</t>
  </si>
  <si>
    <t>סה"כ - פעולות תרבות:</t>
  </si>
  <si>
    <t>323.</t>
  </si>
  <si>
    <t xml:space="preserve">הקצבות לניהול עצמי </t>
  </si>
  <si>
    <t xml:space="preserve">הכנסות והחזר הוצאות משנים קודמות </t>
  </si>
  <si>
    <t>ספריה באזור המערבי</t>
  </si>
  <si>
    <t>סה"כ - ספריה באזור מערבי:</t>
  </si>
  <si>
    <t>השתתפות תאגיד מים וביוב בעלויות המוקד העירוני</t>
  </si>
  <si>
    <t>אגרות ועמלות גבייה</t>
  </si>
  <si>
    <t>סה"כ - אגרות ועמלות גבייה:</t>
  </si>
  <si>
    <t xml:space="preserve">השתתפות משרד החינוך לתיכון דור </t>
  </si>
  <si>
    <t>סה"כ - חינוך על יסודי:</t>
  </si>
  <si>
    <t>317.</t>
  </si>
  <si>
    <t>שרותים נוספים למערכת החינוך</t>
  </si>
  <si>
    <t>השתתפות משרד החינוך לקבטי"ם</t>
  </si>
  <si>
    <t>6.</t>
  </si>
  <si>
    <t>סה"כ - הוצאות מינהל ומימון:</t>
  </si>
  <si>
    <t>7.</t>
  </si>
  <si>
    <t>8.</t>
  </si>
  <si>
    <t>סה"כ  - משרד מהנדס העיר:</t>
  </si>
  <si>
    <t>732.</t>
  </si>
  <si>
    <t>הוצאות מיכון - קובץ ייעודי קרקע</t>
  </si>
  <si>
    <t>7331.</t>
  </si>
  <si>
    <t>רישוי הבנייה</t>
  </si>
  <si>
    <t>סה"כ - רישוי הבנייה:</t>
  </si>
  <si>
    <t>7332.</t>
  </si>
  <si>
    <t>פיקוח על הבנייה</t>
  </si>
  <si>
    <t>סה"כ - פיקוח על הבנייה:</t>
  </si>
  <si>
    <t>סה"כ  - עמלות והוצאות בנקאיות:</t>
  </si>
  <si>
    <t>8177.</t>
  </si>
  <si>
    <t>קציני ביקור סדיר</t>
  </si>
  <si>
    <t>תמיכות והקצבות:</t>
  </si>
  <si>
    <t>נכסים, תחזוקה, לוגיסטיקה ומחסנים</t>
  </si>
  <si>
    <t>העברה לקרנות הרשות ו/או הקטנת גרעון מצטבר</t>
  </si>
  <si>
    <t>סה"כ - שרותים חקלאיים:</t>
  </si>
  <si>
    <t>סה"כ - מוקדי תרבות:</t>
  </si>
  <si>
    <t>סה"כ - שמירה ובטחון:</t>
  </si>
  <si>
    <t>סה"כ - שרותים לכלל משרדי העירייה:</t>
  </si>
  <si>
    <t>9382.</t>
  </si>
  <si>
    <t>יחידת הדפוס העירוני</t>
  </si>
  <si>
    <t>יח' הדפוס העירוני</t>
  </si>
  <si>
    <t>343.</t>
  </si>
  <si>
    <t>שרותים לילד ולנוער</t>
  </si>
  <si>
    <t>הועברו מקרנות פיתוח:</t>
  </si>
  <si>
    <t>השתתפות בהוצאות ועד עובדים</t>
  </si>
  <si>
    <t>טיפול בפרוייקטים עירוניים</t>
  </si>
  <si>
    <t>הקצבה לניהול עצמי</t>
  </si>
  <si>
    <t xml:space="preserve">פארק הרצליה </t>
  </si>
  <si>
    <t>השתתפות המשרד לאיכות הסביבה להפעלת היח' לאיכה"ס</t>
  </si>
  <si>
    <t>סה"כ  - איכות הסביבה:</t>
  </si>
  <si>
    <t>סה"כ שרותים ממלכתיים:</t>
  </si>
  <si>
    <t>שמירה ואבטחת עובדי עירייה ונבחרי ציבור</t>
  </si>
  <si>
    <t>81321.</t>
  </si>
  <si>
    <t>סדנא לאמנויות - בי"ס גורדון</t>
  </si>
  <si>
    <t>הכנסות מימון</t>
  </si>
  <si>
    <t>תקבולים</t>
  </si>
  <si>
    <t>פרע"מ - תשלומים ע"ח הצמדה</t>
  </si>
  <si>
    <t>8141.</t>
  </si>
  <si>
    <t>סה"כ - תחזוקת מוסדות חינוך והצטיידות:</t>
  </si>
  <si>
    <t>סה"כ - אשכול פיס זאב:</t>
  </si>
  <si>
    <t>8152.</t>
  </si>
  <si>
    <t xml:space="preserve">פרעון מלוות לביוב </t>
  </si>
  <si>
    <t>סה"כ - חופי רחצה:</t>
  </si>
  <si>
    <t xml:space="preserve">כלים וציוד </t>
  </si>
  <si>
    <t>82924.</t>
  </si>
  <si>
    <t>סה"כ - תקבולים בלתי רגילים:</t>
  </si>
  <si>
    <t>סה"כ - תקבולים:</t>
  </si>
  <si>
    <t>מצבה</t>
  </si>
  <si>
    <t>חומרים וציוד טכנולוגי</t>
  </si>
  <si>
    <t>ריהוט ואחזקתו</t>
  </si>
  <si>
    <t>עיתונים</t>
  </si>
  <si>
    <t>7227.</t>
  </si>
  <si>
    <t>השתתפות המשרד לבטחון פנים לאבטחת מוסדות חינוך</t>
  </si>
  <si>
    <t>326.</t>
  </si>
  <si>
    <t>מוקדי תרבות</t>
  </si>
  <si>
    <t xml:space="preserve">הוצאות חשמל </t>
  </si>
  <si>
    <t>8289.</t>
  </si>
  <si>
    <t>מועצת נוער</t>
  </si>
  <si>
    <t>סה"כ - תנועות נוער:</t>
  </si>
  <si>
    <t>828.</t>
  </si>
  <si>
    <t>סה"כ נוער:</t>
  </si>
  <si>
    <t>סה"כ -  חניית מכוניות:</t>
  </si>
  <si>
    <t>קידום נוער</t>
  </si>
  <si>
    <t xml:space="preserve">פרסומים ודפוס </t>
  </si>
  <si>
    <t xml:space="preserve">פרסומים ודפוס  </t>
  </si>
  <si>
    <t>סה"כ  - פרעון מלוות לביוב:</t>
  </si>
  <si>
    <t>החזרות מקרנות הרשות השונות</t>
  </si>
  <si>
    <t>סה"כ - איכות הסביבה:</t>
  </si>
  <si>
    <t>סה"כ - הסעות תלמידים:</t>
  </si>
  <si>
    <t>8179.</t>
  </si>
  <si>
    <t>המרכז להוראה מתקנת</t>
  </si>
  <si>
    <t>סה"כ - מינהל תנו"ס:</t>
  </si>
  <si>
    <t>822.</t>
  </si>
  <si>
    <t>ארועי "שבת תרבות"</t>
  </si>
  <si>
    <t>823.</t>
  </si>
  <si>
    <t>ספריה עירונית מרכזית</t>
  </si>
  <si>
    <t>סה"כ  - פרעון מלוות לפיתוח אחר:</t>
  </si>
  <si>
    <t>8136.</t>
  </si>
  <si>
    <t>814.</t>
  </si>
  <si>
    <t>פרסום והסברה</t>
  </si>
  <si>
    <t>8325.</t>
  </si>
  <si>
    <t>836.</t>
  </si>
  <si>
    <t>סה"כ - שרותי חרום רפואיים:</t>
  </si>
  <si>
    <t>כלים וציוד</t>
  </si>
  <si>
    <t>סה"כ - משאבי אנוש:</t>
  </si>
  <si>
    <t>616.</t>
  </si>
  <si>
    <t>מרכז המדעים</t>
  </si>
  <si>
    <t>סה"כ  - נבחרים:</t>
  </si>
  <si>
    <t>6112.</t>
  </si>
  <si>
    <t>מועצה וועדות</t>
  </si>
  <si>
    <t>97.</t>
  </si>
  <si>
    <t>972.</t>
  </si>
  <si>
    <t>ביוב עירוני</t>
  </si>
  <si>
    <t>סה"כ - ביוב עירוני:</t>
  </si>
  <si>
    <t>סה"כ - מינהל ומימון:</t>
  </si>
  <si>
    <t>71.</t>
  </si>
  <si>
    <t>711.</t>
  </si>
  <si>
    <t>712.</t>
  </si>
  <si>
    <t>נקיון כללי</t>
  </si>
  <si>
    <t>פרוט תשלומים - המשך:</t>
  </si>
  <si>
    <t>נספח - מפתח אגפי :</t>
  </si>
  <si>
    <t>ת ק ב ו ל י ם  - באלפי ש"ח:</t>
  </si>
  <si>
    <t>*</t>
  </si>
  <si>
    <t>עצמיים:</t>
  </si>
  <si>
    <t>מינהל כללי:</t>
  </si>
  <si>
    <t>מינהל כספי:</t>
  </si>
  <si>
    <t>הוצאות מימון:</t>
  </si>
  <si>
    <t>פרעון מלוות:</t>
  </si>
  <si>
    <t>שמירה ובטחון:</t>
  </si>
  <si>
    <t>סה"כ - תברואה:</t>
  </si>
  <si>
    <t>22.</t>
  </si>
  <si>
    <t xml:space="preserve">  (מוסיקה בגן בן שפר (כולל אבטחה ופרסום</t>
  </si>
  <si>
    <t>סה"כ - אבטחת מוסדות חינוך:</t>
  </si>
  <si>
    <t>8172.</t>
  </si>
  <si>
    <t>מרכז פדגוגי</t>
  </si>
  <si>
    <t>דמי חבר בארגונים - כללי  (חינוך בפרק .811)</t>
  </si>
  <si>
    <t xml:space="preserve">אחזקת מזרקות בקבלנות </t>
  </si>
  <si>
    <t>סה"כ - יד לבנים, מוזיאון הרצליה לאמנות:</t>
  </si>
  <si>
    <t>82621.</t>
  </si>
  <si>
    <t>מוזיאון הראשונים</t>
  </si>
  <si>
    <t>סה"כ - מוזיאון הראשונים:</t>
  </si>
  <si>
    <t>הכנסות מחניונים עירוניים - מהחב' הכלכלית</t>
  </si>
  <si>
    <t>מצויינות ומלגות לתחרויות בחו"ל</t>
  </si>
  <si>
    <t>שומה וגבייה</t>
  </si>
  <si>
    <t>קנסות בתי - משפט</t>
  </si>
  <si>
    <t>סעיפי 81. - הקצבות עפ"י חוק או הסכמים.</t>
  </si>
  <si>
    <t>סה"כ - שרותי חברה וקהילה:</t>
  </si>
  <si>
    <t>36.</t>
  </si>
  <si>
    <t>קליטת עלייה</t>
  </si>
  <si>
    <t>361.</t>
  </si>
  <si>
    <t>תיעוד</t>
  </si>
  <si>
    <t>סה"כ  - הסברה ותדמית:</t>
  </si>
  <si>
    <t>סה"כ  - בטחון ובטיחות:</t>
  </si>
  <si>
    <t>7221.</t>
  </si>
  <si>
    <t>3141.</t>
  </si>
  <si>
    <t xml:space="preserve">הוצאות מיכון </t>
  </si>
  <si>
    <t>סה"כ - ספורט:</t>
  </si>
  <si>
    <t>סה"כ  - תרבות, נוער וספורט:</t>
  </si>
  <si>
    <t>בריאות</t>
  </si>
  <si>
    <t>סה"כ - מרכז המוסיקה העירוני - קונסרבטוריון:</t>
  </si>
  <si>
    <t>תשלום זכויות יוצרים  (אקו"ם, פדרציה ופי"ל)</t>
  </si>
  <si>
    <t>סה"כ - להקות זמר ומחול:</t>
  </si>
  <si>
    <t>שכר אב בית</t>
  </si>
  <si>
    <t>8262.</t>
  </si>
  <si>
    <t xml:space="preserve">הוצאות שוטפות ושונות </t>
  </si>
  <si>
    <t xml:space="preserve">פרעון מלוות לניקוז </t>
  </si>
  <si>
    <t>6486.</t>
  </si>
  <si>
    <t>סה"כ  - פרעון מלוות לניקוז:</t>
  </si>
  <si>
    <t>השתתפות באיגוד ערים למד"א - נ.ט.ן</t>
  </si>
  <si>
    <t xml:space="preserve">משכורות כוללות - פתוח סביבה </t>
  </si>
  <si>
    <t>הוצאות שוטפות אולם תיכון ראשונים</t>
  </si>
  <si>
    <t>הוצאות לפעולות (כולל סדנת דרמה)</t>
  </si>
  <si>
    <t>שכר עובדי חשבות ופיקוח כספי</t>
  </si>
  <si>
    <t>תיקונים ואחזקה</t>
  </si>
  <si>
    <t>244.</t>
  </si>
  <si>
    <t>סה"כ  - ועדי עובדים:</t>
  </si>
  <si>
    <t>767.</t>
  </si>
  <si>
    <t>8173.</t>
  </si>
  <si>
    <t>שרות פסיכולוגי חינוכי</t>
  </si>
  <si>
    <t>פיקוח על חוקי עזר וחניה</t>
  </si>
  <si>
    <t>סה"כ - שרות פסיכולוגי חינוכי:</t>
  </si>
  <si>
    <t>81741.</t>
  </si>
  <si>
    <t>ריפוי שיניים</t>
  </si>
  <si>
    <t>סה"כ - ריפוי שיניים:</t>
  </si>
  <si>
    <t>8175.</t>
  </si>
  <si>
    <t>ביטוח תלמידים</t>
  </si>
  <si>
    <t>שתיה וכיבוד למתנדבים</t>
  </si>
  <si>
    <t>פרסומים והסברה</t>
  </si>
  <si>
    <t>סה"כ  - משמר אזרחי:</t>
  </si>
  <si>
    <t>723.</t>
  </si>
  <si>
    <t>הג"א</t>
  </si>
  <si>
    <t>תשלומים</t>
  </si>
  <si>
    <t>ההפרש</t>
  </si>
  <si>
    <t>הסכומים באלפי ש"ח</t>
  </si>
  <si>
    <t>נסיעות, ארוח ומימון משלחות וערים תאומות</t>
  </si>
  <si>
    <t>הוצאות משרד ושונות</t>
  </si>
  <si>
    <t>ארנונה כללית:</t>
  </si>
  <si>
    <t>תכנון ובניין עיר</t>
  </si>
  <si>
    <t xml:space="preserve">הוצאות לפעולות - ועדת מעמד הילד </t>
  </si>
  <si>
    <t>שלטי הנצחה</t>
  </si>
  <si>
    <t>גיזומים ברחבי העיר בקבלנות</t>
  </si>
  <si>
    <t>השתתפות משה"ח במועדוני ספורט בחט"ב</t>
  </si>
  <si>
    <t>סה"כ - סדנא לאמנויות - בי"ס גורדון:</t>
  </si>
  <si>
    <t>8322.</t>
  </si>
  <si>
    <t>מרפאת מתבגרים</t>
  </si>
  <si>
    <t>סה"כ - מרפאת מתבגרים:</t>
  </si>
  <si>
    <t>ביטוח ציוד</t>
  </si>
  <si>
    <t>סה"כ  - הג"א:</t>
  </si>
  <si>
    <t>726.</t>
  </si>
  <si>
    <t>כללי</t>
  </si>
  <si>
    <t>סה"כ - מערכת הספריות:</t>
  </si>
  <si>
    <t>9381.</t>
  </si>
  <si>
    <t>השתתפות משרד הקליטה לפרוייקטים מיוחדים וכ"א</t>
  </si>
  <si>
    <t>סה"כ - ספורטק:</t>
  </si>
  <si>
    <t>שרותי קליטה - כללי</t>
  </si>
  <si>
    <t>נקיון בקבלנות - מחסן מליב"י ומועדון לעולה</t>
  </si>
  <si>
    <t>סה"כ - ביטוח תלמידים:</t>
  </si>
  <si>
    <t>פרוייקט "מחשב לכל ילד"</t>
  </si>
  <si>
    <t>הכנסות ממכירת כלי רכב וציוד משומש</t>
  </si>
  <si>
    <t>קריטריון תמיכות:</t>
  </si>
  <si>
    <t>AND(C3&gt;=870,C3&lt;=879)</t>
  </si>
  <si>
    <t>שם  הפרק</t>
  </si>
  <si>
    <t>שרותים ומחסנים:</t>
  </si>
  <si>
    <t>בתי - ספר יסודיים</t>
  </si>
  <si>
    <t>ס ה " כ :</t>
  </si>
  <si>
    <t>תמיכות בהמלצת ועדת התמיכות:</t>
  </si>
  <si>
    <t>תשלומים בלתי רגילים</t>
  </si>
  <si>
    <t>אגרת תעודות, אישורים ומידע</t>
  </si>
  <si>
    <t>827.</t>
  </si>
  <si>
    <t xml:space="preserve">אחזקת מעלית בקבלנות </t>
  </si>
  <si>
    <t xml:space="preserve">חידוש ציוד מיחשוב </t>
  </si>
  <si>
    <t xml:space="preserve">נכסים, תחזוקה ולוגיסטיקה  - </t>
  </si>
  <si>
    <t>הכנסות ספורטק</t>
  </si>
  <si>
    <t>תיקונים ואחזקת מתקני משחק בבתי"ס</t>
  </si>
  <si>
    <t>אחזקת מעלית</t>
  </si>
  <si>
    <t>ספרים, עתונים ואגרת טלוויזיה</t>
  </si>
  <si>
    <t>פרסומים ודפוס</t>
  </si>
  <si>
    <t>הוצאות מיכון</t>
  </si>
  <si>
    <t>אחזקת מכונת צילום</t>
  </si>
  <si>
    <t>הוצאות אחרות לפעולות</t>
  </si>
  <si>
    <t>רכישת ציוד יסודי</t>
  </si>
  <si>
    <t>סה"כ - בריאות הציבור:</t>
  </si>
  <si>
    <t>מיחשוב ומערכות מידע</t>
  </si>
  <si>
    <t>מס.</t>
  </si>
  <si>
    <t>התקציב (ללא פרע"מ)</t>
  </si>
  <si>
    <t>העסקת כ"א באמצעות חב' השמה</t>
  </si>
  <si>
    <t>יחידת התחזוקה</t>
  </si>
  <si>
    <t>ארנונה למגורים  - גבייה מיתרת פיגורים</t>
  </si>
  <si>
    <t>ארנונה שלא למגורים - גבייה שוטפת</t>
  </si>
  <si>
    <t>תשלום ארנונה עבור מחסני הג"א</t>
  </si>
  <si>
    <t>632.</t>
  </si>
  <si>
    <t>הוצאות מימון ביניים</t>
  </si>
  <si>
    <t xml:space="preserve">משכורות כוללות - מינהל ושרותים </t>
  </si>
  <si>
    <t>סה"כ - קליטת עלייה:</t>
  </si>
  <si>
    <t>ת ק ב ו ל י ם :</t>
  </si>
  <si>
    <t>81521.</t>
  </si>
  <si>
    <t>תיכון הנדסאים</t>
  </si>
  <si>
    <t>סה"כ - תיכון הנדסאים:</t>
  </si>
  <si>
    <t>פעולות תרבות</t>
  </si>
  <si>
    <t>ספריה ביד התשעה</t>
  </si>
  <si>
    <t>משאבי אנוש:</t>
  </si>
  <si>
    <t>מיתר</t>
  </si>
  <si>
    <t>תכנית בטרם בעיר - בטיחות ילדים</t>
  </si>
  <si>
    <t>סה"כ  - נקיון כללי:</t>
  </si>
  <si>
    <t>713.</t>
  </si>
  <si>
    <t>714.</t>
  </si>
  <si>
    <t>בתי"ס קהילתיים (יסודיים ועל יסודיים)</t>
  </si>
  <si>
    <t>חטיבות הביניים</t>
  </si>
  <si>
    <t>(כיתות ספורט הנגיד (באמצעות בני-הרצליה</t>
  </si>
  <si>
    <r>
      <t>ת ק ב ו ל י ם</t>
    </r>
    <r>
      <rPr>
        <b/>
        <sz val="11"/>
        <rFont val="David"/>
        <family val="2"/>
        <charset val="177"/>
      </rPr>
      <t xml:space="preserve">  - באלפי ש"ח</t>
    </r>
  </si>
  <si>
    <t>סה"כ - כבישים ומדרכות:</t>
  </si>
  <si>
    <t>:סה"כ - פארק הרצליה</t>
  </si>
  <si>
    <t>סה"כ - פנסיה ופיצויים - אגף החינוך:</t>
  </si>
  <si>
    <t>סה"כ - חינוך קדם יסודי - גני ילדים:</t>
  </si>
  <si>
    <t>סה"כ  - בתי - ספר יסודיים:</t>
  </si>
  <si>
    <t>הוצאות שוטפות וארועים</t>
  </si>
  <si>
    <t xml:space="preserve">פנסיה  </t>
  </si>
  <si>
    <t>מכלל</t>
  </si>
  <si>
    <t>סעיף</t>
  </si>
  <si>
    <t>פרק</t>
  </si>
  <si>
    <t>ועד בית</t>
  </si>
  <si>
    <t>821-7.</t>
  </si>
  <si>
    <t>סה"כ תרבות:</t>
  </si>
  <si>
    <t>8281.</t>
  </si>
  <si>
    <t>מועדון שיכון דרום</t>
  </si>
  <si>
    <t>82458.</t>
  </si>
  <si>
    <t>סה"כ - חניית מכוניות:</t>
  </si>
  <si>
    <t>47.</t>
  </si>
  <si>
    <t>מפעל הביוב</t>
  </si>
  <si>
    <t>סה"כ - חינוך יסודי:</t>
  </si>
  <si>
    <t>3133.</t>
  </si>
  <si>
    <t xml:space="preserve">דמי חבר בארגונים - כלל אגף חינוך </t>
  </si>
  <si>
    <t>8299.</t>
  </si>
  <si>
    <t>סה"כ  - רישוי עסקים ופיקוח תברואי:</t>
  </si>
  <si>
    <t>סה"כ - ספריה בנוף ים:</t>
  </si>
  <si>
    <t>8241.</t>
  </si>
  <si>
    <t>8242.</t>
  </si>
  <si>
    <t>אחזקת גינות ציבוריות בקבלנות</t>
  </si>
  <si>
    <t>ש</t>
  </si>
  <si>
    <t xml:space="preserve">נקיון בקבלנות </t>
  </si>
  <si>
    <t>הוצאות אחזקת מחסן</t>
  </si>
  <si>
    <t>השכלת מבוגרים</t>
  </si>
  <si>
    <t>מימון פרע"מ פיתוח מהיטלי השבחה</t>
  </si>
  <si>
    <t>השתלמויות והדרכה</t>
  </si>
  <si>
    <t>845.</t>
  </si>
  <si>
    <t>פרסומים, דפוס, הסברה וחינוך</t>
  </si>
  <si>
    <t>השתתפות קע"פ בתקציב הרגיל:</t>
  </si>
  <si>
    <t>סה"כ - מועצה דתית:</t>
  </si>
  <si>
    <t>856.</t>
  </si>
  <si>
    <t>סה"כ - שרותי דת:</t>
  </si>
  <si>
    <t>86.</t>
  </si>
  <si>
    <t>861.</t>
  </si>
  <si>
    <t>אחזקת מכונות צילום</t>
  </si>
  <si>
    <t>21.</t>
  </si>
  <si>
    <t>תברואה</t>
  </si>
  <si>
    <t>אגרת ניקוי מגרשים</t>
  </si>
  <si>
    <t>מערכת הספריות</t>
  </si>
  <si>
    <t>סעיפי 83. - השתתפות באיגודי ערים.</t>
  </si>
  <si>
    <t>אחזקת מערכות נוכחות ומיכון</t>
  </si>
  <si>
    <t xml:space="preserve">צריכת מים </t>
  </si>
  <si>
    <t>סה"כ - אולפנים וקליטה בחינוך:</t>
  </si>
  <si>
    <t>369.</t>
  </si>
  <si>
    <t>שרותי קליטה שונים</t>
  </si>
  <si>
    <t xml:space="preserve">מפעלים, נכסים, ותשלומים בלתי רגילים: </t>
  </si>
  <si>
    <t>תשלומים בלתי רגילים:</t>
  </si>
  <si>
    <t>בריאות הציבור</t>
  </si>
  <si>
    <t>ציוד כיבוי אש - אחזקה וחידוש</t>
  </si>
  <si>
    <t>37.</t>
  </si>
  <si>
    <t>82921.</t>
  </si>
  <si>
    <t>אולמות ספורט בתיכונים: היובל, הראשונים והחדש</t>
  </si>
  <si>
    <t>שכר אבות בית</t>
  </si>
  <si>
    <t xml:space="preserve">אחזקת מערכות ציוד ומיזוג אוויר בקבלנות </t>
  </si>
  <si>
    <t>ארנונה שלא למגורים - גבייה מיתרת פיגורים</t>
  </si>
  <si>
    <t>נכסים צבוריים</t>
  </si>
  <si>
    <t>ריכוז מקורות ושימושים  (תקבולים מול תשלומים):</t>
  </si>
  <si>
    <t xml:space="preserve">תקן משרות - ריכוז אגפי: </t>
  </si>
  <si>
    <t>פרוט תקבולים :</t>
  </si>
  <si>
    <t>613.</t>
  </si>
  <si>
    <t>אגרת רשיונות בניה</t>
  </si>
  <si>
    <t>השתתפות קע"פ בשכ"ט לשמאים</t>
  </si>
  <si>
    <t>השתתפות קע"פ בעלויות תכנון ובנין עיר</t>
  </si>
  <si>
    <t>סה"כ תקבולים :</t>
  </si>
  <si>
    <t>תמצית תקציב הועדה המרחבית</t>
  </si>
  <si>
    <t xml:space="preserve">הכנסות ממשרד החינוך </t>
  </si>
  <si>
    <t>מינהלת אזור התעשיה</t>
  </si>
  <si>
    <t>771.</t>
  </si>
  <si>
    <t>סה"כ - מינהלת אזור התעשיה:</t>
  </si>
  <si>
    <t>77.</t>
  </si>
  <si>
    <t>ועדי עובדים</t>
  </si>
  <si>
    <t>ניקיון בקבלנות</t>
  </si>
  <si>
    <t>סה"כ - הוצאות שנים קודמות:</t>
  </si>
  <si>
    <t>994.</t>
  </si>
  <si>
    <t>הוצאות שוטפות - חט"ב סמדר</t>
  </si>
  <si>
    <t>הוצאות שוטפות - חט"ב בן גוריון</t>
  </si>
  <si>
    <t xml:space="preserve">הוצאות לפעולות ושונות </t>
  </si>
  <si>
    <t>משכורות כוללות פיקוח</t>
  </si>
  <si>
    <t xml:space="preserve">פעולות גיבוש וארועי עובדים </t>
  </si>
  <si>
    <t>סה"כ - רווחת הפרט והמשפחה:</t>
  </si>
  <si>
    <t>אחזקה וביטוח מזגנים</t>
  </si>
  <si>
    <t>הפרשה לקרנות</t>
  </si>
  <si>
    <t>סה"כ - הפרשה לקרנות:</t>
  </si>
  <si>
    <t xml:space="preserve">הוצאות שוטפות - אלון </t>
  </si>
  <si>
    <t>רווחה :</t>
  </si>
  <si>
    <t>פרע"מ - תשלומים ע"ח קרן</t>
  </si>
  <si>
    <t>פרע"מ - תשלומים ע"ח ריבית</t>
  </si>
  <si>
    <t>עידוד והתחדשות המסחר ברחוב סוקולוב</t>
  </si>
  <si>
    <r>
      <t>מפעלים ונכסים:</t>
    </r>
    <r>
      <rPr>
        <sz val="11"/>
        <rFont val="David"/>
        <family val="2"/>
        <charset val="177"/>
      </rPr>
      <t xml:space="preserve"> </t>
    </r>
  </si>
  <si>
    <t>סכום חסר לאיזון:</t>
  </si>
  <si>
    <t>משכורות כוללות - מזכירות (כולל מתי"א)</t>
  </si>
  <si>
    <t>ספריה בנוה ישראל</t>
  </si>
  <si>
    <t>846.</t>
  </si>
  <si>
    <t>8474.</t>
  </si>
  <si>
    <t>9.</t>
  </si>
  <si>
    <t>6.- 9.</t>
  </si>
  <si>
    <t>:סה"כ - תשלומים</t>
  </si>
  <si>
    <t>ריכוז מקורות ושימושים לפי פרקים</t>
  </si>
  <si>
    <t>השתתפות מומ"ק כפר שמריהו בהוצאות ועדה מרחבית</t>
  </si>
  <si>
    <t>הוצאות לפעולות תחזוקה ולוגיסטיקה</t>
  </si>
  <si>
    <t>סה"כ - ארועי יום העצמאות:</t>
  </si>
  <si>
    <t>752.</t>
  </si>
  <si>
    <t>חינוך על-יסודי</t>
  </si>
  <si>
    <t>מפת"ן "ארז"</t>
  </si>
  <si>
    <t>משרות</t>
  </si>
  <si>
    <t>מינהל ומימון</t>
  </si>
  <si>
    <t>61.</t>
  </si>
  <si>
    <t>6111.</t>
  </si>
  <si>
    <t>נבחרים</t>
  </si>
  <si>
    <t>הוצאות אחרות</t>
  </si>
  <si>
    <t xml:space="preserve">עבודות ריסוס והדברה בקבלנות </t>
  </si>
  <si>
    <t xml:space="preserve">הוצאות כלים וציוד, ספרים ושונות </t>
  </si>
  <si>
    <t>8132.</t>
  </si>
  <si>
    <t>81796.</t>
  </si>
  <si>
    <t>8282.</t>
  </si>
  <si>
    <t>עבודה קהילתית</t>
  </si>
  <si>
    <t>349.</t>
  </si>
  <si>
    <t>8119.</t>
  </si>
  <si>
    <t>פנסיה ופיצויים - אגף החינוך</t>
  </si>
  <si>
    <t>8232.</t>
  </si>
  <si>
    <t>64.</t>
  </si>
  <si>
    <t>פרעון מלוות</t>
  </si>
  <si>
    <t>(אגרת פיקוח על כלבים  (כלביה</t>
  </si>
  <si>
    <t>סה"כ  - נציב תלונות הציבור:</t>
  </si>
  <si>
    <t>991.</t>
  </si>
  <si>
    <t>הוצאות לפעולות ארועים</t>
  </si>
  <si>
    <t>סה"כ - טקסים וארועים:</t>
  </si>
  <si>
    <t>753.</t>
  </si>
  <si>
    <t>(סיוע לתלמידים עולים (סל קליטה לתלמיד</t>
  </si>
  <si>
    <t>בטיחות מוסדות חינוך</t>
  </si>
  <si>
    <t>ריכוז   ת ש ל ו מ י ם   לפי פרקים ראשיים</t>
  </si>
  <si>
    <t>תקציב</t>
  </si>
  <si>
    <t>אחזקת מערכת מיחשוב להשקייה</t>
  </si>
  <si>
    <t xml:space="preserve">דירוג אשראי לעירייה </t>
  </si>
  <si>
    <t>השתתפות בהפעלת ביה"ד למשמעת במ.ש.מ.</t>
  </si>
  <si>
    <t>8243.</t>
  </si>
  <si>
    <t>מימון פרע"מ כבישים מהיטלי סלילת כבישים ומדרכות</t>
  </si>
  <si>
    <t>סה"כ הכנסות עצמיות:</t>
  </si>
  <si>
    <t>השתתפות משר"ח עבור סל שרותים לתלמיד</t>
  </si>
  <si>
    <t>תרבות תורנית</t>
  </si>
  <si>
    <t>תנועות נוער</t>
  </si>
  <si>
    <t>אולם ספורט ביד התשעה</t>
  </si>
  <si>
    <t>אולם ספורט בנוה ישראל</t>
  </si>
  <si>
    <t>מיסים ואגרות:</t>
  </si>
  <si>
    <t>סה"כ - מרכז פדגוגי - פיסגה:</t>
  </si>
  <si>
    <t>סה"כ - מרכז המדעים:</t>
  </si>
  <si>
    <t>סה"כ - המרכז להוראה מתקנת - "מטרה":</t>
  </si>
  <si>
    <t>סה"כ - שרותים מקומיים:</t>
  </si>
  <si>
    <t>סה"כ - שרותי קליטה - כללי:</t>
  </si>
  <si>
    <t>87.</t>
  </si>
  <si>
    <t>6485.</t>
  </si>
  <si>
    <t xml:space="preserve">פרעון מלוות לכבישים </t>
  </si>
  <si>
    <t>סה"כ  - פרעון מלוות לכבישים:</t>
  </si>
  <si>
    <t>פרעון מלוות לניקוז</t>
  </si>
  <si>
    <t xml:space="preserve">ציוד משרדי שוטף ושונות </t>
  </si>
  <si>
    <t>751.</t>
  </si>
  <si>
    <t xml:space="preserve">משכורות כוללות - עובדי הוראה </t>
  </si>
  <si>
    <t xml:space="preserve">משכורות כוללות - עובדי מינהלה </t>
  </si>
  <si>
    <t>933.</t>
  </si>
  <si>
    <t>אגרת ביוב</t>
  </si>
  <si>
    <t>סה"כ - שרותים לעולים:</t>
  </si>
  <si>
    <t>אחזקת מערכת הפקת מים</t>
  </si>
  <si>
    <t>שכר דירה (כולל ועד בית)</t>
  </si>
  <si>
    <t>אגודות ספורט</t>
  </si>
  <si>
    <t>איבחון מועמדים לעבודה</t>
  </si>
  <si>
    <t>שרותי  דת:</t>
  </si>
  <si>
    <t>אגרת רשיונות בנייה:</t>
  </si>
  <si>
    <t>טקסים וארועים</t>
  </si>
  <si>
    <t>תקבולים בלתי רגילים</t>
  </si>
  <si>
    <t xml:space="preserve">בסעיפי הארנונה נכללות כל ההנחות עפ"י דין (אלו מבוטאות גם בצד ההוצאות בסעיפי תשלומים בלתי רגילים).  </t>
  </si>
  <si>
    <t>שכר אחראים למשק ותחזוקה</t>
  </si>
  <si>
    <t>הוצאות שוטפות ושונות</t>
  </si>
  <si>
    <t>אחזקת מכונות צילום ושכפול</t>
  </si>
  <si>
    <t>8133.</t>
  </si>
  <si>
    <t>שרותים קהילתיים</t>
  </si>
  <si>
    <t>מועצה דתית</t>
  </si>
  <si>
    <t>ארנונה חקלאית</t>
  </si>
  <si>
    <t xml:space="preserve">פנסיה </t>
  </si>
  <si>
    <t xml:space="preserve">פיצויים והסדרי פרישה לעובדים </t>
  </si>
  <si>
    <t xml:space="preserve">גינון בקבלנות </t>
  </si>
  <si>
    <t xml:space="preserve">שרותי אחזקה חיצוניים - רחוב וגן </t>
  </si>
  <si>
    <t xml:space="preserve">אחזקת מקלטים צבוריים, מחסנים ומפקדות </t>
  </si>
  <si>
    <t>תיעול וניקוז</t>
  </si>
  <si>
    <t>סה"כ - שרותים קהילתיים:</t>
  </si>
  <si>
    <t>849.</t>
  </si>
  <si>
    <t>אולפנים וקליטה בחינוך</t>
  </si>
  <si>
    <t>הוצאות מיכון וועדות</t>
  </si>
  <si>
    <t>סה"כ שרותי חברה וקהילה:</t>
  </si>
  <si>
    <t>85.</t>
  </si>
  <si>
    <t>שרותי דת</t>
  </si>
  <si>
    <t>851.</t>
  </si>
  <si>
    <t>השתת. בתב"ר</t>
  </si>
  <si>
    <t>הוצאות חשמל - רמזורים</t>
  </si>
  <si>
    <t>משרד הרווחה:</t>
  </si>
  <si>
    <t>745.</t>
  </si>
  <si>
    <t>סה"כ - תיעול וניקוז:</t>
  </si>
  <si>
    <t>746.</t>
  </si>
  <si>
    <t>גנים ונטיעות</t>
  </si>
  <si>
    <t xml:space="preserve">שכר עובדי הוראה </t>
  </si>
  <si>
    <t xml:space="preserve">משכורות כוללות </t>
  </si>
  <si>
    <t>סה"כ - חטיבות ביניים:</t>
  </si>
  <si>
    <t>אימוץ חילות</t>
  </si>
  <si>
    <t xml:space="preserve">שכר ריכוז ומינהלה </t>
  </si>
  <si>
    <t xml:space="preserve">השתתפות במימון הנחות  </t>
  </si>
  <si>
    <t>תכנון עיר</t>
  </si>
  <si>
    <t>פתוח סביבה</t>
  </si>
  <si>
    <t>סה"כ -  ביטוח ופיצויים שונים - כללי:</t>
  </si>
  <si>
    <t>7691.</t>
  </si>
  <si>
    <t>מינהל נשים</t>
  </si>
  <si>
    <t>סה"כ - מינהל נשים:</t>
  </si>
  <si>
    <t>סה"כ - שרותים שונים:</t>
  </si>
  <si>
    <t>78.</t>
  </si>
  <si>
    <t>781.</t>
  </si>
  <si>
    <t>פיקוח על חוקי העזר</t>
  </si>
  <si>
    <t>בגדי עבודה ושתייה</t>
  </si>
  <si>
    <t>קנסות חנייה</t>
  </si>
  <si>
    <t>פעולות אימוץ</t>
  </si>
  <si>
    <t>614.</t>
  </si>
  <si>
    <t>הסברה ותדמית</t>
  </si>
  <si>
    <t>הקצבות עפ"י חוק או הסכמים:</t>
  </si>
  <si>
    <t xml:space="preserve">אחזקת רכבים - תיפעולי </t>
  </si>
  <si>
    <t xml:space="preserve">משכורות כוללות - מזכירות </t>
  </si>
  <si>
    <t>הדבקת מודעות בקבלנות</t>
  </si>
  <si>
    <t>סה"כ  - הדבקת מודעות:</t>
  </si>
  <si>
    <t>סה"כ - תכנון ובניין עיר:</t>
  </si>
  <si>
    <t>24.</t>
  </si>
  <si>
    <t>"מתנ"ס יד-התשעה - "מולדובן</t>
  </si>
  <si>
    <t>מתנ"ס נוה-ישראל</t>
  </si>
  <si>
    <t>הקצבות שוטפות להפעלת המתנ"ס בשכונה</t>
  </si>
  <si>
    <t>מרכז קהילתי יבור</t>
  </si>
  <si>
    <t>תמיכה למוסדות לטובת הקשיש</t>
  </si>
  <si>
    <t xml:space="preserve">הוצאות לפעולות </t>
  </si>
  <si>
    <t xml:space="preserve">שכר מינהלה </t>
  </si>
  <si>
    <t>עמודים</t>
  </si>
  <si>
    <t>סה"כ - בטיחות בדרכים:</t>
  </si>
  <si>
    <t>2472.</t>
  </si>
  <si>
    <t>חופי רחצה</t>
  </si>
  <si>
    <t>משאבי אנוש</t>
  </si>
  <si>
    <t>דובר וארועים</t>
  </si>
  <si>
    <t>-</t>
  </si>
  <si>
    <t>התפלגות - המחשה גרפית</t>
  </si>
  <si>
    <t>סה"כ - מינהל נוער:</t>
  </si>
  <si>
    <t>סה"כ תשלומים:</t>
  </si>
  <si>
    <t>התפלגות לפי סעיפים  (ב- % מעוגל)</t>
  </si>
  <si>
    <t>פנסיה ופיצויים (להוציא חינוך ורווחה)</t>
  </si>
  <si>
    <t>הקצבות לניהול עצמי (כולל תחזוקה, צריכת מים וגינון)</t>
  </si>
  <si>
    <t>ריכוזים כלליים בחתכי סעיפים ודברי הסבר:</t>
  </si>
  <si>
    <t>אחזקת מזגנים לכלל משרדי העירייה</t>
  </si>
  <si>
    <t>322.</t>
  </si>
  <si>
    <t>הנחות לתלמידים (כולל ועדת הנחות)</t>
  </si>
  <si>
    <t>סה"כ - אולם ספורט בנוה ישראל:</t>
  </si>
  <si>
    <t>82929.</t>
  </si>
  <si>
    <t>ספורטק</t>
  </si>
  <si>
    <t xml:space="preserve">רזרבת ר' האגף להוצאות ב"צ </t>
  </si>
  <si>
    <t>סה"כ - גזברות:</t>
  </si>
  <si>
    <t>623.</t>
  </si>
  <si>
    <t>השתתפות משרד החינוך לתיכון הנדסאים</t>
  </si>
  <si>
    <t>נקיון משרדים בקבלנות - כללי</t>
  </si>
  <si>
    <t>פארק הרצליה</t>
  </si>
  <si>
    <t>רכישת חומרים שוטפים</t>
  </si>
  <si>
    <t>הוצאות בלתי נצפות מראש</t>
  </si>
  <si>
    <t xml:space="preserve">גילום מ"ה בגין שווי הטבות עובדים </t>
  </si>
  <si>
    <t>רזרבת מנכ"ל</t>
  </si>
  <si>
    <t>מקדמות מס הכנסה ע"ח הוצאות עודפות</t>
  </si>
  <si>
    <t>995.</t>
  </si>
  <si>
    <t>הנחות שונות לארנונה ומים</t>
  </si>
  <si>
    <t>סה"כ - מפעלים, נכסים ותשלומים בלתי רגילים:</t>
  </si>
  <si>
    <t>סה"כ - נכסים ציבוריים:</t>
  </si>
  <si>
    <t>26.</t>
  </si>
  <si>
    <t>81793.</t>
  </si>
  <si>
    <t>הוצאות ו/או העברה לקרנות לעניינים חקלאיים</t>
  </si>
  <si>
    <t xml:space="preserve">הוצאות אחרות והיערכות לפתיחת העונה </t>
  </si>
  <si>
    <t>סה"כ  - שרותי קליטה שונים:</t>
  </si>
  <si>
    <t>משכורות כוללות - מוקדנים</t>
  </si>
  <si>
    <t>91.</t>
  </si>
  <si>
    <t xml:space="preserve">מאור וחשמל - כללי  </t>
  </si>
  <si>
    <t>סדרנות ואבטחה בקבלנות</t>
  </si>
  <si>
    <t>סה"כ - נכסים צבוריים:</t>
  </si>
  <si>
    <t>סה"כ - מועדון שיכון דרום:</t>
  </si>
  <si>
    <t>שכר לימוד גני ילדים - טרום חובה</t>
  </si>
  <si>
    <t>תקב' - תשל'</t>
  </si>
  <si>
    <t>סה"כ - חינוך קדם יסודי:</t>
  </si>
  <si>
    <t>משר"ח לסייעות טיפוליות בחינוך המיוחד</t>
  </si>
  <si>
    <t>314.</t>
  </si>
  <si>
    <t>ת ו כ ן :</t>
  </si>
  <si>
    <t>סה"כ  - מבקר העירייה:</t>
  </si>
  <si>
    <t>6121.</t>
  </si>
  <si>
    <t>השתתפות בתקציב המועצה הדתית</t>
  </si>
  <si>
    <t>תמיכות לכוללים ולמוסדות תורניים</t>
  </si>
  <si>
    <t>סה"כ  -  יח' מטה למיחשוב:</t>
  </si>
  <si>
    <t>617.</t>
  </si>
  <si>
    <t>שרות משפטי</t>
  </si>
  <si>
    <t>הוצאות משפטיות</t>
  </si>
  <si>
    <t>ייעוץ משפטי חיצוני</t>
  </si>
  <si>
    <t>תקן משרות - ריכוז אגפי</t>
  </si>
  <si>
    <t>מספר</t>
  </si>
  <si>
    <t>תקן</t>
  </si>
  <si>
    <t>ה א ג ף</t>
  </si>
  <si>
    <t>עירוני</t>
  </si>
  <si>
    <t>ייעודי</t>
  </si>
  <si>
    <t>התקן</t>
  </si>
  <si>
    <t>סה"כ המשרות בתקן:</t>
  </si>
  <si>
    <t>בתוספת משרות:</t>
  </si>
  <si>
    <t>פנסיונרים בפועל:</t>
  </si>
  <si>
    <t>סה"כ כללי:</t>
  </si>
  <si>
    <t>אומדן</t>
  </si>
  <si>
    <t>ביצוע</t>
  </si>
  <si>
    <t>מיסים ואגרות</t>
  </si>
  <si>
    <t>ארנונות</t>
  </si>
  <si>
    <t>ארנונה למגורים  - גבייה שוטפת</t>
  </si>
  <si>
    <t>43.</t>
  </si>
  <si>
    <t>מתנות</t>
  </si>
  <si>
    <t>82451.</t>
  </si>
  <si>
    <t>הוצאות להקת "גלגל במעגל"</t>
  </si>
  <si>
    <t>הוצאות לפעולות ואחרות</t>
  </si>
  <si>
    <t>תיקונים ואחזקה (שוכר-משכיר)</t>
  </si>
  <si>
    <t>הוצאות שוטפות ואחזקת מערכות אזעקה וכריזה</t>
  </si>
  <si>
    <t>ביגוד ושתייה</t>
  </si>
  <si>
    <t>תפעול ישיבות מועצה, ועדות ושונות</t>
  </si>
  <si>
    <t>תכנון עיר ופיתוח סביבה</t>
  </si>
  <si>
    <t>סה"כ - תכנון עיר ופיתוח סביבה:</t>
  </si>
  <si>
    <t>תחזוקת מוסדות חינוך והצטיידות</t>
  </si>
  <si>
    <t>סה"כ - פיקוח עירוני:</t>
  </si>
  <si>
    <t>29.</t>
  </si>
  <si>
    <t>שרותי חרום רפואיים</t>
  </si>
  <si>
    <t>בני הרצליה- פעילויות ספורט</t>
  </si>
  <si>
    <t>הוצאות שוטפות ואחרות</t>
  </si>
  <si>
    <t>81791.</t>
  </si>
  <si>
    <t>שרותי חברה, רווחה וקהילה</t>
  </si>
  <si>
    <t>341.</t>
  </si>
  <si>
    <t>השתתפות משרד הפנים לפנסיה צוברת</t>
  </si>
  <si>
    <t>82641.</t>
  </si>
  <si>
    <t>משכן לאמנים וסופרים</t>
  </si>
  <si>
    <t>הוצאות שונות</t>
  </si>
  <si>
    <t>מינהל נוער</t>
  </si>
  <si>
    <t>שכר שרותי היקף לנוער</t>
  </si>
  <si>
    <t>שכר שרתים</t>
  </si>
  <si>
    <t>יול"א</t>
  </si>
  <si>
    <t xml:space="preserve">השתתפות מ"מ כפר שמריהו : </t>
  </si>
  <si>
    <t>תמרורים וגדרות בטיחות</t>
  </si>
  <si>
    <t>סה"כ - שרותים לילד ולנוער:</t>
  </si>
  <si>
    <t>344.</t>
  </si>
  <si>
    <t>תקבולי משרד הרווחה:</t>
  </si>
  <si>
    <t>מפעלים, נכסים ותשלומים בלתי רגילים</t>
  </si>
  <si>
    <t>משכורות כוללות תכנון עיר</t>
  </si>
  <si>
    <t>המרכז להוראה מתקנת - "מטרה"</t>
  </si>
  <si>
    <t>כיסוי הוצאות משנים קודמות</t>
  </si>
  <si>
    <t xml:space="preserve">כלכלה ושתיה </t>
  </si>
  <si>
    <t>טיפול בצמחיה</t>
  </si>
  <si>
    <t xml:space="preserve">השתתפות משרד התחבורה להוצאות בטיחות </t>
  </si>
  <si>
    <t>התפלגויות</t>
  </si>
  <si>
    <t>מהכנסות</t>
  </si>
  <si>
    <t>סה"כ - מועדון נוער:</t>
  </si>
  <si>
    <t>23.</t>
  </si>
  <si>
    <t>תיגבור, יוזמות והעשרה בחינוך</t>
  </si>
  <si>
    <t>ארועי תרבות וחוגים</t>
  </si>
  <si>
    <t>סה"כ - ספריה עירונית מרכזית:</t>
  </si>
  <si>
    <t>8231.</t>
  </si>
  <si>
    <t>ספריה באזור מערבי</t>
  </si>
  <si>
    <t>הכנסות המרכז להוראה מתקנת (מטר"ה)</t>
  </si>
  <si>
    <t>אשכול פיס זאב</t>
  </si>
  <si>
    <t>השתתפות משר"ח לאשכול הפיס זאב</t>
  </si>
  <si>
    <t>315.</t>
  </si>
  <si>
    <t>חינוך על יסודי</t>
  </si>
  <si>
    <t>מפעל הביוב (כולל פרע"מ):</t>
  </si>
  <si>
    <t>ריכוז תמיכות, הקצבות והשתתפויות</t>
  </si>
  <si>
    <t>חומרים (תויות רישוי, תרכ' חיסון) ושוטפות</t>
  </si>
  <si>
    <t>829.</t>
  </si>
  <si>
    <t>סה"כ ספורט:</t>
  </si>
  <si>
    <t>81.</t>
  </si>
  <si>
    <t>הוצאות משרד ואחרות</t>
  </si>
  <si>
    <t xml:space="preserve">אגרת רשיונות בנייה </t>
  </si>
  <si>
    <t>מחוייבות אישית</t>
  </si>
  <si>
    <t>8159.</t>
  </si>
  <si>
    <t>תיכון דור</t>
  </si>
  <si>
    <t xml:space="preserve">תיכון דור </t>
  </si>
  <si>
    <t xml:space="preserve">שכר עובדי הוראה  </t>
  </si>
  <si>
    <t>סה"כ - תיכון דור:</t>
  </si>
  <si>
    <t>8171.</t>
  </si>
  <si>
    <t>אבטחת מוסדות חינוך</t>
  </si>
  <si>
    <t>שכר קציני בטחון</t>
  </si>
  <si>
    <t>השתתפות בהוצאות ועד עובדי החינוך העל יסודי</t>
  </si>
  <si>
    <t>סה"כ - הנחות וסיוע לתלמידים במערכת החינוך:</t>
  </si>
  <si>
    <t>81795.</t>
  </si>
  <si>
    <t>סה"כ - בריאות:</t>
  </si>
  <si>
    <t>34.</t>
  </si>
  <si>
    <t>מל"ח ופס"ח</t>
  </si>
  <si>
    <t>שכר כולל</t>
  </si>
  <si>
    <t>הוצאות לפעולות</t>
  </si>
  <si>
    <t>בטיחות בדרכים</t>
  </si>
  <si>
    <t>סה"כ - קידום נוער:</t>
  </si>
  <si>
    <t>3132.</t>
  </si>
  <si>
    <t xml:space="preserve">חינוך יסודי </t>
  </si>
  <si>
    <t xml:space="preserve">רזרבת ר' האגף לניהול עצמי </t>
  </si>
  <si>
    <t>איצטדיון עירוני ומגרשי אימונים</t>
  </si>
  <si>
    <t>תאגיד התרבות העירוני</t>
  </si>
  <si>
    <t>סה"כ - תאגיד התרבות העירוני</t>
  </si>
  <si>
    <t>81797.</t>
  </si>
  <si>
    <t>הוצאות מיכון מערכת רכש ומלאי מחסנים</t>
  </si>
  <si>
    <t>94.</t>
  </si>
  <si>
    <t>943.</t>
  </si>
  <si>
    <t>רשות החנייה</t>
  </si>
  <si>
    <t xml:space="preserve">שכר עובדי הוראה - מועדוניות רווחה </t>
  </si>
  <si>
    <t>סה"כ - ספריה בנוה ישראל:</t>
  </si>
  <si>
    <t>8234.</t>
  </si>
  <si>
    <t>ספריה בנוף ים</t>
  </si>
  <si>
    <t>ספריה בנוף-ים</t>
  </si>
  <si>
    <t>יתר הכנסות עצמיות:</t>
  </si>
  <si>
    <t xml:space="preserve">השתתפות משרד החינוך לתיכונים </t>
  </si>
  <si>
    <t>משכורות כוללות</t>
  </si>
  <si>
    <t>איכות הסביבה</t>
  </si>
  <si>
    <t>10.</t>
  </si>
  <si>
    <t>פתוח מנהלי בתי הספר</t>
  </si>
  <si>
    <t>813601.</t>
  </si>
  <si>
    <t>סה"כ - הערכה, מידע ובקרה:</t>
  </si>
  <si>
    <t>עיקור וטיפול בחתולי רחוב וכלבים</t>
  </si>
  <si>
    <t>סה"כ - שרותי שיקום:</t>
  </si>
  <si>
    <t>347.</t>
  </si>
  <si>
    <t>73.</t>
  </si>
  <si>
    <t>731.</t>
  </si>
  <si>
    <t>משרד מהנדס העיר</t>
  </si>
  <si>
    <t>ייעוץ, ליווי והדרכה, הערכה, מידע ובקרה</t>
  </si>
  <si>
    <t>פרעון מלוות (ללא ביוב):</t>
  </si>
  <si>
    <t>הוצאות כלליות לפעולות</t>
  </si>
  <si>
    <t>הוצאות לפרוייקטים במימון מ. הקליטה</t>
  </si>
  <si>
    <t>סה"כ - שרותים לזקן:</t>
  </si>
  <si>
    <t>345.</t>
  </si>
  <si>
    <t>שרותים למפגר</t>
  </si>
  <si>
    <t>יד לבנים - מוזיאון</t>
  </si>
  <si>
    <t>ביטוח</t>
  </si>
  <si>
    <t>קריטריונים:</t>
  </si>
  <si>
    <t>הוצאות טיפול בגביית קנסות חנייה (נטו)</t>
  </si>
  <si>
    <t>סה"כ - פנסיה ופיצויים - רווחה:</t>
  </si>
  <si>
    <t>סה"כ - תיפעול מערכת הפקת מים:</t>
  </si>
  <si>
    <t>סה"כ - יחידת הדפוס העירוני:</t>
  </si>
  <si>
    <t>סה"כ - המכון לטיהור שפכים:</t>
  </si>
  <si>
    <t>הנחות שונות לארנונה</t>
  </si>
  <si>
    <t>סה"כ - הנחות שונות לארנונה:</t>
  </si>
  <si>
    <t>סה"כ - פנסיה ופיצויים (להוציא חינוך ורווחה):</t>
  </si>
  <si>
    <t>ארועי יום העצמאות</t>
  </si>
  <si>
    <t>הוצאות לפעולות מטה</t>
  </si>
  <si>
    <t>דמי שימוש במקרקעין (הר עפר במרינה)</t>
  </si>
  <si>
    <t>84.</t>
  </si>
  <si>
    <t>841.</t>
  </si>
  <si>
    <t>מינהל שרותים חברתיים</t>
  </si>
  <si>
    <t>842.</t>
  </si>
  <si>
    <t xml:space="preserve">שכר אב בית </t>
  </si>
  <si>
    <t>מרכז המוסיקה העירוני - קונסרבטוריון</t>
  </si>
  <si>
    <t>אחזקת מעלית וביטוח מזגנים</t>
  </si>
  <si>
    <t>8254.</t>
  </si>
  <si>
    <t>מפעלים ונכסים</t>
  </si>
  <si>
    <t>41.</t>
  </si>
  <si>
    <t>מים</t>
  </si>
  <si>
    <t>אגרת מים</t>
  </si>
  <si>
    <t>סה"כ  - מים:</t>
  </si>
  <si>
    <t>כללי :</t>
  </si>
  <si>
    <t>סעיפי 82. - תמיכות בהמלצת ועדת תמיכות.</t>
  </si>
  <si>
    <t>שרותים לזקן</t>
  </si>
  <si>
    <t>שכר :</t>
  </si>
  <si>
    <t>סה"כ - קציני ביקור סדיר:</t>
  </si>
  <si>
    <t>8178.</t>
  </si>
  <si>
    <t>הסעות תלמידים</t>
  </si>
  <si>
    <t>ליווי הסעים בחינוך המיוחד</t>
  </si>
  <si>
    <t>82922.</t>
  </si>
  <si>
    <t>סה"כ - אולם ספורט ביד התשעה:</t>
  </si>
  <si>
    <t>82923.</t>
  </si>
  <si>
    <t xml:space="preserve">ארועי ספורט חצות </t>
  </si>
  <si>
    <t>348.</t>
  </si>
  <si>
    <t>הוצאות שוטפות אולם היובל</t>
  </si>
  <si>
    <t>הוצאות שוטפות אולם תיכון חדש</t>
  </si>
  <si>
    <t>715.</t>
  </si>
  <si>
    <t>תברואה מונעת</t>
  </si>
  <si>
    <t xml:space="preserve">כלכלה, ביגוד ושתיה </t>
  </si>
  <si>
    <t>סה"כ  - תברואה מונעת:</t>
  </si>
  <si>
    <t>ארנונה - הנחות ועדה בגין מצב חומרי</t>
  </si>
  <si>
    <t>סה"כ הנחות בארנונה:</t>
  </si>
  <si>
    <t>סה"כ - ארנונות:</t>
  </si>
  <si>
    <t>12.</t>
  </si>
  <si>
    <t>אגרות</t>
  </si>
  <si>
    <t>סה"כ - הכנסות שונות:</t>
  </si>
  <si>
    <t>28.</t>
  </si>
  <si>
    <t>פיקוח עירוני</t>
  </si>
  <si>
    <t>השתתפות משרד החינוך לקידום נוער</t>
  </si>
  <si>
    <t>8291.</t>
  </si>
  <si>
    <t>מינהל הספורט וכללי</t>
  </si>
  <si>
    <t>השתתפות בהוצאות ועד גימלאים</t>
  </si>
  <si>
    <t>שרותים חקלאיים</t>
  </si>
  <si>
    <t xml:space="preserve">הוצאות שוטפות ואחרות </t>
  </si>
  <si>
    <t>:סה"כ - תקבולים בלתי רגילים</t>
  </si>
  <si>
    <t>גינון בקבלנות (כולל פיקוח וייעוץ)</t>
  </si>
  <si>
    <t>אחזקת מתקני משחק בקבלנות</t>
  </si>
  <si>
    <t>72.</t>
  </si>
  <si>
    <t>שמירה ובטחון</t>
  </si>
  <si>
    <t>721.</t>
  </si>
  <si>
    <t>בטחון ובטיחות</t>
  </si>
  <si>
    <t>פינוי פסולת בנין משטחים פתוחים</t>
  </si>
  <si>
    <t>אבטחה בקבלנות</t>
  </si>
  <si>
    <t>חידוש צי רכב</t>
  </si>
  <si>
    <t>ת ש ל ו מ י ם :</t>
  </si>
  <si>
    <t>התפלגות הכנסות לפי מקורות עיקריים:</t>
  </si>
  <si>
    <t>קליטת עלייה:</t>
  </si>
  <si>
    <t>השתתפות משרד החינוך לשרות הפסיכולוגי</t>
  </si>
  <si>
    <t>הוצאות מיכון - מעקב דוחו"ת חנייה</t>
  </si>
  <si>
    <t>סה"כ - נכסים:</t>
  </si>
  <si>
    <t>44.</t>
  </si>
  <si>
    <t>חניית מכוניות</t>
  </si>
  <si>
    <t>שרותים לעולים</t>
  </si>
  <si>
    <t>971.</t>
  </si>
  <si>
    <t>חינוך מיוחד</t>
  </si>
  <si>
    <t>סה"כ - חינוך מיוחד:</t>
  </si>
  <si>
    <t>הכנסות מפעולות תרבות בספריה עירונית מרכזית (במקביל בהוצאות בסעיף 823/781)</t>
  </si>
  <si>
    <t>הכנסות מפעולות תרבות בספרית נוף ים (במקביל בהוצאות בסעיף 8234/780)</t>
  </si>
  <si>
    <t>סה"כ  - שרות וטרינרי:</t>
  </si>
  <si>
    <t>הוצאות שכר - העסקה בעירייה</t>
  </si>
  <si>
    <t>סה"כ - ספריה ביד התשעה:</t>
  </si>
  <si>
    <t>השתתפות בהוצאות בית המשפט העירוני</t>
  </si>
  <si>
    <t>הנחות ארנונה:</t>
  </si>
  <si>
    <t>סה"כ שכר ופעולות:</t>
  </si>
  <si>
    <t>הסכומים באלפי ש"ח:</t>
  </si>
  <si>
    <t>שרותים לכלל משרדי העירייה</t>
  </si>
  <si>
    <t>מימון הסעים (מתחייב)</t>
  </si>
  <si>
    <t>:סה"כ מפעלים,נכסים ותשלומים בלתי רגילים</t>
  </si>
  <si>
    <t>תקבולים / תשלומים בלתי רגילים</t>
  </si>
  <si>
    <t>ספרניות בבתיה"ס</t>
  </si>
  <si>
    <t>השתתפות משרד החינוך עבור "סל קליטה לתלמיד"</t>
  </si>
  <si>
    <t>סה"כ - אגודות ספורט:</t>
  </si>
  <si>
    <t>82991.</t>
  </si>
  <si>
    <t>חניית מכוניות:</t>
  </si>
  <si>
    <t>מפעל הביוב:</t>
  </si>
  <si>
    <t>פרוט תשלומים :</t>
  </si>
  <si>
    <t>תאונות אישיות, חבות מעבידים, אחריות מקצועית</t>
  </si>
  <si>
    <t>הוצאות מינהל ומימון:</t>
  </si>
  <si>
    <t>אגרת הדבקת מודעות</t>
  </si>
  <si>
    <t>סה"כ  -מיסים ואגרות:</t>
  </si>
  <si>
    <t>שרותים מקומיים</t>
  </si>
  <si>
    <t>82453.</t>
  </si>
  <si>
    <t>מרכז פדגוגי - פיסגה</t>
  </si>
  <si>
    <t>סה"כ - משכן לאמנים וסופרים:</t>
  </si>
  <si>
    <t>9132.</t>
  </si>
  <si>
    <t>תיפעול מערכת הפקת מים</t>
  </si>
  <si>
    <t xml:space="preserve"> </t>
  </si>
  <si>
    <t xml:space="preserve">טיפול בצנרת ניקוז ושונות </t>
  </si>
  <si>
    <t>סה"כ - מינהלת סוקולוב:</t>
  </si>
  <si>
    <t>81322.</t>
  </si>
  <si>
    <t>בית הספר הימי</t>
  </si>
  <si>
    <t>סה"כ - בית הספר הימי:</t>
  </si>
  <si>
    <t>31322.</t>
  </si>
  <si>
    <t>313220</t>
  </si>
  <si>
    <t>סה"כ - בית הספר הימי</t>
  </si>
  <si>
    <t>טיפול בחורשות בקבלנות</t>
  </si>
  <si>
    <t>8168.</t>
  </si>
  <si>
    <t>קרן מילגות עירוניות</t>
  </si>
  <si>
    <t>קרן מלגות עירוניות</t>
  </si>
  <si>
    <t>סה"כ - קרן מלגות עירוניות:</t>
  </si>
  <si>
    <t xml:space="preserve">השתתפות בהוצאות מתקני ספורט - אגודות שונות </t>
  </si>
  <si>
    <t xml:space="preserve">שכר אבחונים (כולל בשלות לבי"ס) </t>
  </si>
  <si>
    <t>734.</t>
  </si>
  <si>
    <t>תיאום ובקרה הנדסיים</t>
  </si>
  <si>
    <t>סה"כ - תיאום ובקרה הנדסיים :</t>
  </si>
  <si>
    <t>פריסה וקיפול הצללות+אחזקה</t>
  </si>
  <si>
    <t>משכורות כוללות - מוקד טלפוני</t>
  </si>
  <si>
    <t>שכר הוראה - ממלכתי דתי</t>
  </si>
  <si>
    <t>בית ספר ימי</t>
  </si>
  <si>
    <t>שכונה תומכת</t>
  </si>
  <si>
    <t>הוצאות לפעולות - ועדת תנועה</t>
  </si>
  <si>
    <t>3136.</t>
  </si>
  <si>
    <t xml:space="preserve">תיגבור, יוזמות והעשרה נוספים במערכת החינוך - כלל מוס"ח  </t>
  </si>
  <si>
    <t>סה"כ - תיגבור, יוזמות והעשרה נוספים במערכת בחינוך</t>
  </si>
  <si>
    <t xml:space="preserve">הוצאות לפעולות - ועדת חינוך </t>
  </si>
  <si>
    <t xml:space="preserve">הפצת חיובי ארנונה </t>
  </si>
  <si>
    <t xml:space="preserve">תשלומי עמלות לבנקים </t>
  </si>
  <si>
    <t xml:space="preserve">השתתפות קע"פ בעלויות תכנון ובניין עיר </t>
  </si>
  <si>
    <t xml:space="preserve">השתתפות קע"פ בעלויות שמאים  (במקביל בהוצאות בסעיף 732/951) </t>
  </si>
  <si>
    <t>תרבות, נוער וספורט :</t>
  </si>
  <si>
    <t>הקצבה לבני הרצליה עבור מרכזי מצויינות</t>
  </si>
  <si>
    <t>אולמות ספורט בבתי"ס יסודיים וחטיבות ביניים</t>
  </si>
  <si>
    <t>סה"כ - אולמות ספורט בבתי"ס יסודיים וחטיבות ביניים:</t>
  </si>
  <si>
    <t xml:space="preserve">פעולות ספורט עממי </t>
  </si>
  <si>
    <t xml:space="preserve">חינוך </t>
  </si>
  <si>
    <t>חינוך, תנו"ס ורווחה:</t>
  </si>
  <si>
    <t>משכורות כוללות - תיכון הראשונים - הוראה</t>
  </si>
  <si>
    <t>משכורות כוללות - תיכון הראשונים - מינהלה</t>
  </si>
  <si>
    <t>משכורות כוללות - תיכון היובל - הוראה</t>
  </si>
  <si>
    <t>משכורות כוללות - תיכון עירוני החדש - הוראה</t>
  </si>
  <si>
    <t>משכורות כוללות - תיכון היובל - מינהלה</t>
  </si>
  <si>
    <t>משכורות כוללות - תיכון חדש - מינהלה</t>
  </si>
  <si>
    <t>הכנסות מגביית דמי תכנון</t>
  </si>
  <si>
    <t>פיקוח גנים ברובעים</t>
  </si>
  <si>
    <t>שכר מינהלה - ממלכתי דתי</t>
  </si>
  <si>
    <t>(כיתות ספורט בן גוריון (באמצעות בני-הרצליה</t>
  </si>
  <si>
    <t>ספריות בתי ספר</t>
  </si>
  <si>
    <t xml:space="preserve">הוצאות מיכון - הנהח"ש וגזברות </t>
  </si>
  <si>
    <t xml:space="preserve">הוצאות מיכון - מחלקת שכר </t>
  </si>
  <si>
    <t>ממוצעת</t>
  </si>
  <si>
    <t>משכורות כוללות - סייעות רפואיות</t>
  </si>
  <si>
    <t>הכנסות מדמי שימוש (במקביל בהוצאות ב- 81796/425)</t>
  </si>
  <si>
    <t xml:space="preserve">השתתפות משר"ח לחינוך המיוחד </t>
  </si>
  <si>
    <t xml:space="preserve">הוצאות שוטפות, הזנה ושונות </t>
  </si>
  <si>
    <t>משכורות כוללות - מינהל</t>
  </si>
  <si>
    <t xml:space="preserve">העסקת אבות בית </t>
  </si>
  <si>
    <t>אגרות חנייה :</t>
  </si>
  <si>
    <t xml:space="preserve">הקצבה לתאגיד התרבות להפעלת מועדון "גיל הזהב" </t>
  </si>
  <si>
    <t>סעיפי 81.</t>
  </si>
  <si>
    <t>סעיפי 82.</t>
  </si>
  <si>
    <t>סעיפי 83.</t>
  </si>
  <si>
    <t>סעיפי 87.</t>
  </si>
  <si>
    <t xml:space="preserve">רזרבה לרפורמות, התייקרויות והוצאות בלתי נצפות </t>
  </si>
  <si>
    <t xml:space="preserve">משכורות כוללות - נהגי משאיות גזם </t>
  </si>
  <si>
    <t>אחזקת רכבים - תיפעולי - משאיות גזם</t>
  </si>
  <si>
    <t>814001.</t>
  </si>
  <si>
    <t>אחזקת בתי ספר (כנגד הכנסות מדמי שימוש - סעיף 317960/420)</t>
  </si>
  <si>
    <t>משכורות כוללות - חשבות תנו"ס</t>
  </si>
  <si>
    <t>8264.</t>
  </si>
  <si>
    <t xml:space="preserve">הקצבה להיכל לאומנויות הבמה </t>
  </si>
  <si>
    <t>מועדון נוער  (באמצעות תאגיד התרבות העירוני)</t>
  </si>
  <si>
    <t>החזר הוצאות אולמות ספורט קטנים (במקביל בהכנסות ב- 32924/422)</t>
  </si>
  <si>
    <t xml:space="preserve">מספר נתונים כלכליים: </t>
  </si>
  <si>
    <t>אחזקת רמזורים בקבלנות</t>
  </si>
  <si>
    <t>השתתפות קרן דמ"נ</t>
  </si>
  <si>
    <t>היטל הטמנה</t>
  </si>
  <si>
    <t>שכר הוראה מרכזי למידה - תוכנית "כנפיים"</t>
  </si>
  <si>
    <t>תפעול ואחזקת אתר המשקל</t>
  </si>
  <si>
    <t>סה"כ - מרכז צעירים:</t>
  </si>
  <si>
    <t>7692.</t>
  </si>
  <si>
    <t>מרכז צעירים</t>
  </si>
  <si>
    <t>הכנסות מאיסוף פסולת נייר - אמניר</t>
  </si>
  <si>
    <t>נקיון בקבלנות (משרדי רובעים)</t>
  </si>
  <si>
    <t>אחזקת מעלית בקבלנות</t>
  </si>
  <si>
    <t>הוצאות שוטפות - ברנדייס</t>
  </si>
  <si>
    <t xml:space="preserve">שכר - עירייה ישיר </t>
  </si>
  <si>
    <t>השתתפות הורים באבחונים פסיכודידקטיים וקשב</t>
  </si>
  <si>
    <t>השתתפות משרד החינוך לסייעות בגני חובה</t>
  </si>
  <si>
    <t>השתתפות בתקציב הבלתי רגיל</t>
  </si>
  <si>
    <t>הוצאות להפעלת חניון משאיות (נטו) - באמצ' החב' הכלכלית</t>
  </si>
  <si>
    <t>ליווי רו"ח לבתי-ספר בניהול עצמי</t>
  </si>
  <si>
    <t xml:space="preserve">הקצבה לתאגיד התרבות העירוני להפעלת הסינמטק </t>
  </si>
  <si>
    <t>שירותי הדרכה טכנית למיחשוב בבתי"ס בקבלנות</t>
  </si>
  <si>
    <t>מפעל מלגות (מתוכם 50 אלש"ח לטובת מלגות לפולין)</t>
  </si>
  <si>
    <t xml:space="preserve">הקצבה לתאגיד התרבות העירוני להפעלת הגלריה העירונית </t>
  </si>
  <si>
    <t>82952.</t>
  </si>
  <si>
    <t xml:space="preserve">עמלות גבייה לבנק הדואר </t>
  </si>
  <si>
    <t>מלגות לתלמידי הקונסרבטוריון</t>
  </si>
  <si>
    <t xml:space="preserve">הכנסות מהחברה לפיתוח תיירות עבור פינוי מכולות </t>
  </si>
  <si>
    <t>הכנסות ממערכות פוטו וולטאיות (באמצעות החב' הכלכלית)</t>
  </si>
  <si>
    <t>הוצאות להשתלמות מורים מצטיינים</t>
  </si>
  <si>
    <t xml:space="preserve">מועדוני ספורט בית ספריים  (היובל והראשונים) </t>
  </si>
  <si>
    <t>אבחון דידקטי וקשב</t>
  </si>
  <si>
    <t>"שרותי ניהול וליווי מוסיקלי להקת "זמר לך</t>
  </si>
  <si>
    <t>בטיחות מוסדות עירייה</t>
  </si>
  <si>
    <t xml:space="preserve">השתלמות אירגונית </t>
  </si>
  <si>
    <t>שירותי חשבות</t>
  </si>
  <si>
    <t>הקצבה לבני הרצליה להפעלת כדורעף</t>
  </si>
  <si>
    <t>שכר מח'  נכסים וביטוחים</t>
  </si>
  <si>
    <t>תוכנית עירונית להורים</t>
  </si>
  <si>
    <t xml:space="preserve">שכר דירה - סינמטק </t>
  </si>
  <si>
    <t>חידוש ציוד יסודי למיחשוב לבתי"ס וגנ"י</t>
  </si>
  <si>
    <t xml:space="preserve">משכורות כוללות - מח. רכב </t>
  </si>
  <si>
    <t xml:space="preserve">משכורות כוללות - מח. רכש </t>
  </si>
  <si>
    <t xml:space="preserve">משכורות כוללות - מח. לוגיסטיקה </t>
  </si>
  <si>
    <t xml:space="preserve">שכר עובדי מינהלה </t>
  </si>
  <si>
    <t>פעילות ספורט לקשישים ולאוכלוסיה מיוחדת</t>
  </si>
  <si>
    <t>הוצאות שוטפות - וולפסון</t>
  </si>
  <si>
    <t>מנהיגות נוער עירונית וחינוך חברתי</t>
  </si>
  <si>
    <t>הוצאות כיבוד (שיתוף הציבור)</t>
  </si>
  <si>
    <t>משכורות כוללות - פיקוח על צהרונים</t>
  </si>
  <si>
    <t>הכנסות איצטדיון עירוני</t>
  </si>
  <si>
    <t>הוצאות חשמל - כלבייה</t>
  </si>
  <si>
    <t xml:space="preserve">משכורות כוללות - פקחים </t>
  </si>
  <si>
    <t xml:space="preserve">השתתפות משרד התרבות והספורט לסל הספורט </t>
  </si>
  <si>
    <t>פרעון מלווה לאוצר המדינה</t>
  </si>
  <si>
    <t>6483.</t>
  </si>
  <si>
    <t>סה"כ  - פרעון מלווה לאוצר המדינה:</t>
  </si>
  <si>
    <t>הוצאות משרד ושוטפות</t>
  </si>
  <si>
    <t xml:space="preserve">הוצאות מים  </t>
  </si>
  <si>
    <t xml:space="preserve">פעולות :                 </t>
  </si>
  <si>
    <t>:פרעון מלוות</t>
  </si>
  <si>
    <t>טיוטא מס. 4</t>
  </si>
  <si>
    <t>לתקבולים</t>
  </si>
  <si>
    <t>ריכוז והתפלגות ההכנסות העצמיות</t>
  </si>
  <si>
    <t>ריכוז והתפלגות הכנסות משרדי ממשלה - להוציא חינוך ורווחה</t>
  </si>
  <si>
    <t>השתתפות משרד החינוך לגני טרום חובה (גננות + סייעות)</t>
  </si>
  <si>
    <t>מועדוני ספורט בית-ספריים (סמדר, ב"ג, הנגיד, זאב - ע"י בני הרצליה)</t>
  </si>
  <si>
    <t>הכנסות מאירועי תרבות ושונות (במקביל בהוצאות בסעיף 822/720)</t>
  </si>
  <si>
    <t xml:space="preserve">הכנסות מאולמות ספורט בתיכונים  </t>
  </si>
  <si>
    <t xml:space="preserve">הכנסות מאולמות ספורט ביסודיים וחט"ב </t>
  </si>
  <si>
    <t xml:space="preserve">הוצאות בגין ייעוץ חיצוני </t>
  </si>
  <si>
    <t xml:space="preserve">אבטחת בנין העירייה בקבלנות </t>
  </si>
  <si>
    <t xml:space="preserve">תמיכה שוטפת בתשתיות מיחשוב </t>
  </si>
  <si>
    <t>שרותי אחזקה חיצוניים לנקיון רחובות (עוזרי נהגי משאיות ב- 755)</t>
  </si>
  <si>
    <t>בטיחות וגהות (מוס"ח בסעיף 81796/783)</t>
  </si>
  <si>
    <t>הדרכות בנושא בטיחות (מוס"ח בסעיף 81796/783)</t>
  </si>
  <si>
    <t>הוצאות חשמל - תאורת רחובות</t>
  </si>
  <si>
    <t>סה"כ - תיגבור, יוזמות והעשרה נוספים במערכת בחינוך:</t>
  </si>
  <si>
    <t>ביקורת והדרכות בטיחות אש - כללי (מוס"ח בסעיף 81796/423)</t>
  </si>
  <si>
    <t>סיוע לספריות לווין (ספרים ואירועים)</t>
  </si>
  <si>
    <t>העסקת כ"א באמצעות חב' השמה (בנות שירות לאומי)</t>
  </si>
  <si>
    <t>אבטחה - סקייטפארק</t>
  </si>
  <si>
    <t>הוצאות לפעולות - ועדת ערר לארנונה</t>
  </si>
  <si>
    <t>הוצאות לפעולות - ועדת בניין עיר</t>
  </si>
  <si>
    <t xml:space="preserve">הוצאות אחרות </t>
  </si>
  <si>
    <t>הקצבה לתאגיד התרבות להפעלת תוכניות לגיל השלישי</t>
  </si>
  <si>
    <t xml:space="preserve">העסקת כ"א באמצעות חב' השמה לצרכי תחזוקה </t>
  </si>
  <si>
    <t>משכורות כוללות (בגין עובדים "מושאלים" לתאגיד המים והביוב)</t>
  </si>
  <si>
    <t>כלכלה, ביגוד ושתיה</t>
  </si>
  <si>
    <t>תקבולים מהתאגיד למימון עלויות עובדים "מושאלים"</t>
  </si>
  <si>
    <t>תקבולים מהתאגיד למימון עלויות עובדים "מושאלים" (ביוב)</t>
  </si>
  <si>
    <t>תקבולים מהתאגיד למימון עלויות עובדים "מושאלים" (מכון הטיהור)</t>
  </si>
  <si>
    <t>שם הפרק</t>
  </si>
  <si>
    <t>הוצאות שונות - מחלקת רכב</t>
  </si>
  <si>
    <t>7322.</t>
  </si>
  <si>
    <t>התחדשות עירונית</t>
  </si>
  <si>
    <t>סה"כ - התחדשות עירונית:</t>
  </si>
  <si>
    <t>8138.</t>
  </si>
  <si>
    <t>הפעלת בתי"ס של החופש הגדול</t>
  </si>
  <si>
    <t>הסעות וליווי תלמידים</t>
  </si>
  <si>
    <t>הפעלת בתי ספר של החופש הגדול</t>
  </si>
  <si>
    <t>סה"כ - בתי ספר של החופש הגדול:</t>
  </si>
  <si>
    <t>תפעול שוטף - הקצבה לניהול עצמי - בי"ס יסודיים</t>
  </si>
  <si>
    <t>מ"מ מזכירות ושרתים - באמצ' חב'  כח-אדם</t>
  </si>
  <si>
    <t>3138.</t>
  </si>
  <si>
    <t>בית הספר של החופש הגדול</t>
  </si>
  <si>
    <t>השתתפות משרד החינוך לבתי הספר של החופש הגדול</t>
  </si>
  <si>
    <t>סה"כ - בית הספר של החופש הגדול:</t>
  </si>
  <si>
    <t>תרבות תורנית - שכר דירה</t>
  </si>
  <si>
    <t>השתתפות המשרד לבטחון פנים בפרוייקט "מצילה"</t>
  </si>
  <si>
    <t>תחזוקה ושירות מעלית - בית שאיפ"ה</t>
  </si>
  <si>
    <t>העברה לבתי"ס בגין הכנסות ממערכות פוטו וולטאיות</t>
  </si>
  <si>
    <t>אירועי שבוע חינוך</t>
  </si>
  <si>
    <t>שכר עובדי מינהל ושרותים - הנגיד</t>
  </si>
  <si>
    <t>שכר עובדי מינהל ושרותים - יד גיורא</t>
  </si>
  <si>
    <t>שכר עובדי מינהל ושרותים - בן גוריון</t>
  </si>
  <si>
    <t>שכר עובדי מינהל ושרותים - רעות</t>
  </si>
  <si>
    <t>שכר עובדי מינהל ושרותים - זאב</t>
  </si>
  <si>
    <t>שכר עובדי מינהל ושרותים - סמדר</t>
  </si>
  <si>
    <t>משכורות כוללות - מחזור ותברואה מונעת</t>
  </si>
  <si>
    <t>הקצבה לתאגיד התרבות להפעלת מוזיאון הרצליה לאמנות עכשווית</t>
  </si>
  <si>
    <t xml:space="preserve">הוצאות שונות ורזרבה </t>
  </si>
  <si>
    <t>עדלאידע - הוצאות תחזוקה ולוגיסטיקה</t>
  </si>
  <si>
    <t>יד לבנים, מוזיאון הרצליה לאמנות (מ- 2015 מופעל באמצעות תאגיד התרבות העירוני)</t>
  </si>
  <si>
    <t xml:space="preserve">הוצאות לפעולות - מועדון חברתי צב"ר </t>
  </si>
  <si>
    <t>מועדון גמלאים גיל הזהב (מופעל באמצעות תאגיד התרבות העירוני)</t>
  </si>
  <si>
    <t xml:space="preserve">חומרים ונורות </t>
  </si>
  <si>
    <t xml:space="preserve">מימון שכר לימוד לתלמידי חוץ - חינוך רגיל </t>
  </si>
  <si>
    <t xml:space="preserve">מימון שכר לימוד לתלמידי חוץ - חינוך מיוחד </t>
  </si>
  <si>
    <t xml:space="preserve">שכר מדריכים </t>
  </si>
  <si>
    <t xml:space="preserve">ארגון טריאתלון נשים בינלאומי </t>
  </si>
  <si>
    <t>משפחות במצוקה - עירוני</t>
  </si>
  <si>
    <t>הקצבה לתאגיד עירוני על"ה</t>
  </si>
  <si>
    <t>הנחות לנזקקים</t>
  </si>
  <si>
    <t xml:space="preserve">חומרים ונורות חשמל </t>
  </si>
  <si>
    <t>פ י ר ו ט</t>
  </si>
  <si>
    <t xml:space="preserve">הקצבה לבני הרצליה עבור פעילות ילדים ונוער </t>
  </si>
  <si>
    <t>ארועי קיץ (כולל פרסומים ודפוס)</t>
  </si>
  <si>
    <t>311.</t>
  </si>
  <si>
    <t>מינהל חינוך</t>
  </si>
  <si>
    <t>סה"כ - מינהל חינוך:</t>
  </si>
  <si>
    <t>השתתפות רשויות אחרות במימון עלויות פנסיה עובדי חינוך</t>
  </si>
  <si>
    <t>שיטור עירוני</t>
  </si>
  <si>
    <t>שכר שיטור עירוני</t>
  </si>
  <si>
    <t>אחזקת רכב תפעולי</t>
  </si>
  <si>
    <t>סה"כ  - שיטור עירוני:</t>
  </si>
  <si>
    <t xml:space="preserve">העסקת כ"א באמצעות חב' השמה - מ"מ מזכירות ושרתים </t>
  </si>
  <si>
    <t>שכר עובד/ת הזנה - אופק</t>
  </si>
  <si>
    <t>בתי ספר של החופש הגדול  (בהשתתפות משרד החינוך)</t>
  </si>
  <si>
    <t>שכר יול"א (מותנה במימון משר"ח - סעיף 3159/922)</t>
  </si>
  <si>
    <t>הוצאות לפעולות יול"א לרבות הזנה  (מותנה במימון משר"ח - סעיף 3159/922)</t>
  </si>
  <si>
    <t>פעולות בטיחות</t>
  </si>
  <si>
    <t xml:space="preserve">פעולות בטיחות </t>
  </si>
  <si>
    <t>סה"כ - פעולות בטיחות :</t>
  </si>
  <si>
    <t>עדלאידע - פרסומים ודפוס</t>
  </si>
  <si>
    <t xml:space="preserve">פיצויים שונים, שיפוי על נזקים והשתתפות עצמית  (חינוך בסעיף 811/442) </t>
  </si>
  <si>
    <t>משכורות כוללות מזכירות (במקביל בהכנסות בסעיף 3132/921)</t>
  </si>
  <si>
    <t xml:space="preserve">הכנסות מאולמות ספורט קטנים בבתי הספר (במקביל בהוצאות בסעיף 8291/421) </t>
  </si>
  <si>
    <t xml:space="preserve">הכנסות ממשתתפים - מרכז צעירים (במקביל בהוצאות בסעיף 7692/781) </t>
  </si>
  <si>
    <t xml:space="preserve">משר"ח לסיוע לניהול עצמי - תוספת פדגוגית (במקביל בהוצאות בסעיף 8132/876) </t>
  </si>
  <si>
    <t xml:space="preserve">השתתפות משרד החינוך ליול"א בתיכון דור (במקביל בהוצאות בסעיף 8159/102, 8159/780) </t>
  </si>
  <si>
    <t xml:space="preserve">הכנסות תלמידים מפעילויות במרכז המדעים (במקביל בהוצאות בסעיף 81721/103, 81721/781) </t>
  </si>
  <si>
    <t xml:space="preserve">הכנסות ספריה עירונית מרכזית  (במקביל בהוצאות בסעיף 823/720) </t>
  </si>
  <si>
    <t xml:space="preserve">שכר לימוד מתלמידי חוץ </t>
  </si>
  <si>
    <t xml:space="preserve">שכר לימוד מתלמידי חוץ - חינוך המיוחד </t>
  </si>
  <si>
    <t xml:space="preserve">אגרות חנייה </t>
  </si>
  <si>
    <t>השתתפות רשויות אחרות במימון עלויות פנסיה (להוציא חינוך ורווחה)</t>
  </si>
  <si>
    <t xml:space="preserve">סיוע לניהול עצמי (במקביל בהכנסות בסעיף 3132/921) </t>
  </si>
  <si>
    <t>החזר הוצאות לחט"ב בגין שכירויות שונות (50%) (הכנסות בסעיף 430/670)</t>
  </si>
  <si>
    <t xml:space="preserve">החזר הוצאות לתיכונים בגין הפעלת קיוסקים (50%) (הכנסות בסעיף 430/670) </t>
  </si>
  <si>
    <t xml:space="preserve">שכר פסיכולוגים - אבחון דידקטי וקשב </t>
  </si>
  <si>
    <t xml:space="preserve">סבסוד אבחונים - נזקקים </t>
  </si>
  <si>
    <t>תמיכה למוסדות בתחום איכות הסביבה</t>
  </si>
  <si>
    <t xml:space="preserve">הקצבות למתנ"ס נוה ישראל עבור המרכז </t>
  </si>
  <si>
    <t>הכנסות מאיסוף בגדים ובדים למיחזור ושימוש חוזר - באמצעות חב' רוזניר</t>
  </si>
  <si>
    <t xml:space="preserve">שכ"ד, ועד בית ודמי ניהול - נכסים עירוניים </t>
  </si>
  <si>
    <t>חומרי ניקוי - כללי</t>
  </si>
  <si>
    <t>שכר עובדי המחלקה</t>
  </si>
  <si>
    <t>ניקיון</t>
  </si>
  <si>
    <t xml:space="preserve">הוצאות שונות </t>
  </si>
  <si>
    <t>מקלטים לנשים מוכות</t>
  </si>
  <si>
    <t>טיפול בדיירי רחוב</t>
  </si>
  <si>
    <t>מס.ארציות לדיירי רחוב</t>
  </si>
  <si>
    <t xml:space="preserve">השתת' בשירותים טיפוליים - עירוני </t>
  </si>
  <si>
    <t>שכר מרכז טיפול באלימות</t>
  </si>
  <si>
    <t>מרכזי טיפול באלימות - פעילות</t>
  </si>
  <si>
    <t>טיפול במשפחות אומנה</t>
  </si>
  <si>
    <t>מועדונית הפעלה באמצעות דרך הגלים</t>
  </si>
  <si>
    <t>טיפול בילד בקהילה</t>
  </si>
  <si>
    <t>מ. משותפות - שכר/מ.החינוך</t>
  </si>
  <si>
    <t>מ.משותפות - היסעים+ליווי</t>
  </si>
  <si>
    <t>מועדוניות משותפות (4)</t>
  </si>
  <si>
    <t>טיפול בפגיעות מיניות</t>
  </si>
  <si>
    <t>אחזקת ילדים בפנימיות</t>
  </si>
  <si>
    <t>השתת' במעונות-עירייה</t>
  </si>
  <si>
    <t>ילדים במעונות יום</t>
  </si>
  <si>
    <t>אחזקת זקנים במעונות</t>
  </si>
  <si>
    <t>נופשון לזקן</t>
  </si>
  <si>
    <t>שירותים לניצולי שואה-100%</t>
  </si>
  <si>
    <t>רכישת שירותים מעמותה עירונית על"ה</t>
  </si>
  <si>
    <t>הפעלת טלביזיה קהילתית</t>
  </si>
  <si>
    <t>מועדונים לזקנים</t>
  </si>
  <si>
    <t>טיפול בזקן בקהילה</t>
  </si>
  <si>
    <t>מסגרות יומיות לזקן</t>
  </si>
  <si>
    <t>מרכז יום שיקומי לאוטיסט</t>
  </si>
  <si>
    <t>משפחות אומנה - מש"ה</t>
  </si>
  <si>
    <t>משפחות אומנה לשיקום</t>
  </si>
  <si>
    <t>מעון ממשלתי - מש"ה</t>
  </si>
  <si>
    <t>הסעות לאוטיסטים</t>
  </si>
  <si>
    <t>מרכז יום אימוני - מש"ה</t>
  </si>
  <si>
    <t>מעשי"ם</t>
  </si>
  <si>
    <t>הסעות למרכז יום - מש"ה</t>
  </si>
  <si>
    <t>שכר - יול"א אופק</t>
  </si>
  <si>
    <t xml:space="preserve">ילדים עיוורים במוסדות </t>
  </si>
  <si>
    <t>הדרכת עיוור ובני ביתו</t>
  </si>
  <si>
    <t>אחזקת נכים במשפחות אומנה</t>
  </si>
  <si>
    <t>מסגרות יום לילד המוגבל</t>
  </si>
  <si>
    <t>תוכניות לילד החריג</t>
  </si>
  <si>
    <t>מרכזי איבחון ושיקום</t>
  </si>
  <si>
    <t>נכים קשים בקהילה</t>
  </si>
  <si>
    <t>טיפול בנוער ובצעירים</t>
  </si>
  <si>
    <t>טיפול בנערות במצוקה</t>
  </si>
  <si>
    <t>בתים חמים לנערות</t>
  </si>
  <si>
    <t>מפת"ן ארז</t>
  </si>
  <si>
    <t xml:space="preserve">שכר - מפתן ארז </t>
  </si>
  <si>
    <t>אחזקת מבנה</t>
  </si>
  <si>
    <t>הוצאות שוטפות מפת"ן ארז</t>
  </si>
  <si>
    <t>848.</t>
  </si>
  <si>
    <t>שכר שירותים קהילתיים</t>
  </si>
  <si>
    <t>הוצאות שונות (כולל חוסן בקהילה) - עירוני</t>
  </si>
  <si>
    <t>הוצאות ועדת רווחה</t>
  </si>
  <si>
    <t>עבודה קהילתית - פעולות - עירוני</t>
  </si>
  <si>
    <t>קהילות פונקציונאליות</t>
  </si>
  <si>
    <t>סלי מזון לנצרכים - עירוני</t>
  </si>
  <si>
    <t>פעולות התנדבות בקהילה</t>
  </si>
  <si>
    <t>שכר - שי"ל</t>
  </si>
  <si>
    <t>דמי אחזקה - שי"ל</t>
  </si>
  <si>
    <t>לשכות יעוץ לאזרח</t>
  </si>
  <si>
    <t>משפחות עולים במצוקה</t>
  </si>
  <si>
    <t>ילדים בפנימיות - עולים</t>
  </si>
  <si>
    <t>טיפול בזקנים - עולים</t>
  </si>
  <si>
    <t>כ"א לחינוך מיוחד-100%</t>
  </si>
  <si>
    <t>בטחון עובדים ומאבטחים-100%</t>
  </si>
  <si>
    <t>מועדוניות משותפות (4) - צד ג'</t>
  </si>
  <si>
    <t>אחזקת ילדים בפנימיות - צד ג'</t>
  </si>
  <si>
    <t>אחזקת זקנים במעונות - צד ג'</t>
  </si>
  <si>
    <t>שירותים לניצולי שואה - 100%</t>
  </si>
  <si>
    <t>טיפול בזקן בקהילה - צד ג'</t>
  </si>
  <si>
    <t>מרכזי ועדות- חוק סיעוד (100%)</t>
  </si>
  <si>
    <t>מסגרות יומיות לזקן - צד ג'</t>
  </si>
  <si>
    <t>מ.יום שיקומי לאוטיסט - צד ג'</t>
  </si>
  <si>
    <t>מ.יום שיקומי לאוטיסט</t>
  </si>
  <si>
    <t>מ.יום אימוני - מש"ה</t>
  </si>
  <si>
    <t>מ.יום טיפולי - מש"ה - צד ג'</t>
  </si>
  <si>
    <t>הסעות למרכז יום מש"ה - צד ג'</t>
  </si>
  <si>
    <t>מס.יום לילד המוגבל</t>
  </si>
  <si>
    <t>סה"כ - מפת"ן ארז:</t>
  </si>
  <si>
    <t>מפת"ן ארז - ילדי חוץ</t>
  </si>
  <si>
    <t>פע' התנדבות בקהילה</t>
  </si>
  <si>
    <t>עובדי שכונה עולים</t>
  </si>
  <si>
    <t>השתתפות פונים לטיפול באלימות</t>
  </si>
  <si>
    <t>847.</t>
  </si>
  <si>
    <t>שרותי תקון</t>
  </si>
  <si>
    <t>סה"כ - שרותי תקון:</t>
  </si>
  <si>
    <t>סל תרבות – הכנסות מהורים</t>
  </si>
  <si>
    <t>סל תרבות לגני ילדים</t>
  </si>
  <si>
    <t>3474.</t>
  </si>
  <si>
    <t>שכר דירה רווחה</t>
  </si>
  <si>
    <t>שכר דירה שי"ל</t>
  </si>
  <si>
    <t>עמלה למפעיל חניה סלולרית (פאנגו וסלופארק)</t>
  </si>
  <si>
    <t>העסקה באמצעות חב' השמה - שירותים לילד ולנוער</t>
  </si>
  <si>
    <t>העסקה באמצעות חב' השמה - שרותי תקון</t>
  </si>
  <si>
    <t>שכר מנהלה - אגף ביטחון</t>
  </si>
  <si>
    <t>ילדים עיוורים בקהילה</t>
  </si>
  <si>
    <t xml:space="preserve">מימון הסעים - תוספת עירונית </t>
  </si>
  <si>
    <t>התנהגות מינית לא מותאמת</t>
  </si>
  <si>
    <t>הוצאות דואר - כלל משרדי העירייה</t>
  </si>
  <si>
    <t>הכנסות מביצוע עבודות מים</t>
  </si>
  <si>
    <t>הנחות תל"ן לאוכלוסיה נצרכת</t>
  </si>
  <si>
    <t>ניקיון בקבלנות - ממלכתי דתי</t>
  </si>
  <si>
    <t>תיקונים ואחזקה (כולל שיקום מסלולים)</t>
  </si>
  <si>
    <t>הדברת חדקונית הדקל</t>
  </si>
  <si>
    <t>החלפת מערכות השקייה שונות בעיר</t>
  </si>
  <si>
    <t>שימור גנים וחידוש צמחיה בבתי"ס שאינם בניהול עצמי</t>
  </si>
  <si>
    <t>הוצאות לפעולות חינוך לקיימות</t>
  </si>
  <si>
    <t xml:space="preserve">אחזקת רכב עירוני - מינהלי </t>
  </si>
  <si>
    <t xml:space="preserve">אחזקת רכב מינהלי - עירוני </t>
  </si>
  <si>
    <t xml:space="preserve">אחזקת קטנוע </t>
  </si>
  <si>
    <t xml:space="preserve">אחזקת רכב עירוני - תיפעולי </t>
  </si>
  <si>
    <t xml:space="preserve">אחזקת רכב - תיפעולי </t>
  </si>
  <si>
    <t xml:space="preserve">אחזקת מיול </t>
  </si>
  <si>
    <t>מינהלת תב"ל</t>
  </si>
  <si>
    <t>מינהלת אגף תחזוקה, בטיחות ולוגיסטיקה</t>
  </si>
  <si>
    <t>משלוח הודעות בדבר קנסות</t>
  </si>
  <si>
    <t>עדלאידע - אבטחה בקבלנות</t>
  </si>
  <si>
    <t xml:space="preserve">הוצאות אחרות והחרמות (כולל פינוי גרוטאות) </t>
  </si>
  <si>
    <t>ארנונה - הנחות לזכאים עפ"י דין</t>
  </si>
  <si>
    <t>הנחות בארנונה: עפ"י דין (ללא מימון) והנחות ועדה עפ"י מצב חומרי</t>
  </si>
  <si>
    <t>הוצאות הקלטה ורישום סטנוגרמות - ועדות שונות</t>
  </si>
  <si>
    <t>ארכיון עירוני (הסטורי) - כולל ייעוץ</t>
  </si>
  <si>
    <t>מועדונית הפעלה באמצעות דרך הגלים - היסעים</t>
  </si>
  <si>
    <t>מועדוניות משותפות (4) - השלמה עירונית</t>
  </si>
  <si>
    <t>הסעות למעונות/פעוטונים (מעון רב תכליתי)</t>
  </si>
  <si>
    <t>ילדים במעונות יום - פעוטות בסיכון</t>
  </si>
  <si>
    <t>מועדונים לזקנים - השלמה עירונית</t>
  </si>
  <si>
    <t>טיפול בזקן בקהילה - השלמה עירונית</t>
  </si>
  <si>
    <t>אוטיסטים - עירוני</t>
  </si>
  <si>
    <t>שכונה תומכת נכים</t>
  </si>
  <si>
    <t>תוכנית תעסוקה לצעירים (אפיקים)</t>
  </si>
  <si>
    <t>טיפול בנערות במצוקה - השלמה עירונית</t>
  </si>
  <si>
    <t>שכר מדריכי מית"ר</t>
  </si>
  <si>
    <t>עבודה קהילתית - השלמה עירונית</t>
  </si>
  <si>
    <t>לשכות יעוץ לאזרח - השלמה עירונית</t>
  </si>
  <si>
    <t>שכר עובדת מועדונית (שעות אפקטיביות)</t>
  </si>
  <si>
    <t>השתתפות פונים לשרותים טיפוליים</t>
  </si>
  <si>
    <t>סיוע למרותקי בית</t>
  </si>
  <si>
    <t>השתתפות הרשות לשיקום האסיר בהעסקת עו"ס מטעמם ברשות</t>
  </si>
  <si>
    <t xml:space="preserve">השתתפות משרד הפנים בעלויות היתרי בניה </t>
  </si>
  <si>
    <t>הוצאות לפעולות (מותנה בהכנסות - סעיף 2692/420)</t>
  </si>
  <si>
    <t>בית העלמין</t>
  </si>
  <si>
    <t>859.</t>
  </si>
  <si>
    <t>רשת בטחון לעמותת על"ה</t>
  </si>
  <si>
    <t>מרכזי הפעלה לילדי א' - ד'</t>
  </si>
  <si>
    <t>פעילות קהילתית - נחלת עדה</t>
  </si>
  <si>
    <t>הקצבה לתאגיד -  מינהלת (שכר ופעולות)</t>
  </si>
  <si>
    <t>השתתפות משרד החינוך לסייעת שניה בטרום חובה</t>
  </si>
  <si>
    <t>השתתפות משרד החינוך להסעים וליווי - חינוך רגיל</t>
  </si>
  <si>
    <t>מימון היסעים פר קפיטה - סבסוד הרשות</t>
  </si>
  <si>
    <t>סבסוד תלמידי א' - ג' שישתלבו בצהרון בתוך בתי הספר</t>
  </si>
  <si>
    <t>סיוע למשפחות אבלים</t>
  </si>
  <si>
    <t>הפעלת תוכנית תקשוב בחינוך - שכר</t>
  </si>
  <si>
    <t>בטחון, פיקוח וסדר ציבורי</t>
  </si>
  <si>
    <t xml:space="preserve">תוכנית בית ספר מנגן </t>
  </si>
  <si>
    <t xml:space="preserve">ארועים ופעולות תרבות </t>
  </si>
  <si>
    <t>תמיכה במוסדות בתחום זהות יהודית</t>
  </si>
  <si>
    <t>רזרבת מנכ"ל לאיוש תקנים</t>
  </si>
  <si>
    <t xml:space="preserve">שמאויות והוצאות שונות </t>
  </si>
  <si>
    <t xml:space="preserve">שרותי חניה נוספים בחניון לב-העיר </t>
  </si>
  <si>
    <t>הכנסות מדיבידנד מחברת מי הרצליה בע"מ</t>
  </si>
  <si>
    <t>הוצאות אחזקת מזגנים באולמות ספורט</t>
  </si>
  <si>
    <t xml:space="preserve">משכורות כוללות - מח. בטיחות ובריאות תעסוקתית </t>
  </si>
  <si>
    <t>הקצבה לתאגיד התרבות העירוני להפעלת היכל בעיר</t>
  </si>
  <si>
    <t xml:space="preserve">שאיפ"ה </t>
  </si>
  <si>
    <t xml:space="preserve">הכנסות מזכיונות ושכירויות של נכסי העירייה </t>
  </si>
  <si>
    <t>הוצאות לפעולות - ועדת בריאות</t>
  </si>
  <si>
    <t xml:space="preserve">מינהל אגף שאיפ"ה </t>
  </si>
  <si>
    <t xml:space="preserve">נקיון  בקבלנות </t>
  </si>
  <si>
    <t>הוצאות אחרות והחרמות (כולל פינוי גרוטאות)  (מותנה בהכנסות בסעיף 281/420)</t>
  </si>
  <si>
    <t xml:space="preserve">אחזקת רכב - תיפעולי  </t>
  </si>
  <si>
    <t xml:space="preserve">פרוייקט "ק"מ של תרבות" (יסודיים ותיכוניים) </t>
  </si>
  <si>
    <t xml:space="preserve">משכורות כוללות - בשעות אפקטיביות </t>
  </si>
  <si>
    <t>הוצאות לפעולות (מותנה בהכנסות בסעיף 31721/420)</t>
  </si>
  <si>
    <t>משכורות כוללות - בשעות אפקטיביות (מותנה בהכנסות בסעיף 31721/420)</t>
  </si>
  <si>
    <t xml:space="preserve">שכר אבחונים (מותנה בהכנסות בסעיף 3173/421) </t>
  </si>
  <si>
    <t>מימון היסעים פר קפיטה - בהשתתפות משרד החינוך (כולל בי"ס ימי)</t>
  </si>
  <si>
    <t xml:space="preserve">בדיקות וסקרי בטיחות במוס"ח </t>
  </si>
  <si>
    <t>הוצאות שונות פעולות תנו"ס (מותנה בהכנסות - סעיף 322/420)</t>
  </si>
  <si>
    <t>רכישת ספרים ומדיה מגנטית (מותנה בהכנסות - סעיף 323/420)</t>
  </si>
  <si>
    <t>פעולות תרבות (מותנה בהכנסות - סעיף 323/421)</t>
  </si>
  <si>
    <t>פעולות תרבות (מותנה בהכנסות - סעיף 3234/421)</t>
  </si>
  <si>
    <t>הוצאות שוטפות ואחרות (כולל אחזקת מ.צילום)</t>
  </si>
  <si>
    <t xml:space="preserve">החזר הוצאות אבות בית באולמות ספורט </t>
  </si>
  <si>
    <t>הוצאות לפעולות בריאות הציבור (ועדת בריאות בסעיף 6112/787)</t>
  </si>
  <si>
    <t xml:space="preserve">העסקת עו"ס לשיקום האסיר </t>
  </si>
  <si>
    <t xml:space="preserve">תיקונים ואחזקה - משרדי העירייה </t>
  </si>
  <si>
    <t>משכורות כוללות - סייעות לגננות (מתגברות בסעיף 812/103,104)</t>
  </si>
  <si>
    <t xml:space="preserve">ניהול מידע מקרקעין ונכסים </t>
  </si>
  <si>
    <t>אחזקת כבישים ומדרכות 742; מאור רחובות  743;  בטיחות בדרכים 744 (ללא ייעוץ תנועה ומטה בטיחות) ;</t>
  </si>
  <si>
    <t>חופי רחצה 7472.</t>
  </si>
  <si>
    <t>פרק 615.</t>
  </si>
  <si>
    <t>פרוייקטים שונים במימון משרד החינוך (במקביל בהוצאות בסעיף 8136/787)</t>
  </si>
  <si>
    <t>שכר מלווים במעברי חציה</t>
  </si>
  <si>
    <t>משכורות כוללות - שעות אפקטיביות</t>
  </si>
  <si>
    <t xml:space="preserve">תחזוקת תקשורת - כלל משרדי העירייה </t>
  </si>
  <si>
    <t xml:space="preserve">תשתיות מידע ורישיונות </t>
  </si>
  <si>
    <t>ייעוץ משפטי חיצוני (במקביל בהכנסות ב- 230/592)</t>
  </si>
  <si>
    <t>משכורות כוללות – בתים חמים לנערות</t>
  </si>
  <si>
    <t>השתתפות משרד הרווחה בהוצאות ארגוניות</t>
  </si>
  <si>
    <t>תחזוקת מצלמות למוס"ח</t>
  </si>
  <si>
    <t>השתתפות במימון רכז נוער הרצליה הצעירה (אשכול פיס)</t>
  </si>
  <si>
    <t>מועדון מופ"ת לניצולי שואה</t>
  </si>
  <si>
    <t>שכונה תומכת לניצולי שואה</t>
  </si>
  <si>
    <t xml:space="preserve">מועדון מופ"ת לניצולי שואה </t>
  </si>
  <si>
    <t>הוצאות לפעולות - ועדת תמיכות</t>
  </si>
  <si>
    <t>טלפוניה וסלולר</t>
  </si>
  <si>
    <t xml:space="preserve">טלפוניה וסלולר </t>
  </si>
  <si>
    <t>טלפוניה וסלולר (כולל בית מורשת)</t>
  </si>
  <si>
    <t>טלפוניה וסלולר - שי"ל</t>
  </si>
  <si>
    <t>טלפוניה וסלולר - כלל משרדי העירייה (אחזקת מערכת טלפונים ב- 542)</t>
  </si>
  <si>
    <t>הוצאות ביגוד והנעלה</t>
  </si>
  <si>
    <t>עבודות קבלניות אבטחה וסיור</t>
  </si>
  <si>
    <t>אחזקת מרכז הפעלה</t>
  </si>
  <si>
    <t xml:space="preserve">אירועי קיץ לנוער </t>
  </si>
  <si>
    <t>הוצאות לפעולות קהילה</t>
  </si>
  <si>
    <t>מזכרות, סמלים ושונות</t>
  </si>
  <si>
    <t xml:space="preserve">השתלמויות, הדרכה  והעשרה מקצועית (בנפרד: מצילים, שפ"ח ורווחה) </t>
  </si>
  <si>
    <t>עמלות גבייה לבנק הדואר (ארנונה. חנייה בסעיף - 943/610)</t>
  </si>
  <si>
    <t>אחזקת מערכות מסנני אב"כ במקלטים</t>
  </si>
  <si>
    <t>ייעוץ ותכנון תנועה, תחבורה ורמזורים (מהנדס העיר)</t>
  </si>
  <si>
    <t>פעילות קהילתית (כולל פרסומים)</t>
  </si>
  <si>
    <t xml:space="preserve">סיוע לילדים מתקשים כולל כיתות חינוך מיוחד </t>
  </si>
  <si>
    <t xml:space="preserve">לשכת קשר לחיילים </t>
  </si>
  <si>
    <t>סה"כ - מרכז הספורט אפולוניה:</t>
  </si>
  <si>
    <t>מרכז הספורט אפולוניה</t>
  </si>
  <si>
    <t>מועדון חברתי צב"ר</t>
  </si>
  <si>
    <t>סה"כ - מועדון חברתי צב"ר:</t>
  </si>
  <si>
    <t>סריקת תיקי בניין חדשים</t>
  </si>
  <si>
    <t>שכר מינהלה פרוייקט מחוננים ומצטיינים (מזכירה ושרת) (הכנסות ב- 31721/920)</t>
  </si>
  <si>
    <t>השתתפות משרד החינוך בפעילות פיסג"ה</t>
  </si>
  <si>
    <t>בי"ס על יסודי צומח ממ"ד "אחי"ה"</t>
  </si>
  <si>
    <t>סה"כ - בי"ס על יסודי צומח ממ"ד "אחי"ה":</t>
  </si>
  <si>
    <t>תקורה:</t>
  </si>
  <si>
    <t>פ.ת.</t>
  </si>
  <si>
    <t xml:space="preserve">השתתפות קע"פ בעלויות ייעוץ משפטי חיצוני </t>
  </si>
  <si>
    <r>
      <t xml:space="preserve">הוצ' מיוחדות, ב"צ ושונות </t>
    </r>
    <r>
      <rPr>
        <sz val="11"/>
        <rFont val="David"/>
        <family val="2"/>
        <charset val="177"/>
      </rPr>
      <t>:</t>
    </r>
  </si>
  <si>
    <t>פעילות קהילתית נוף ים</t>
  </si>
  <si>
    <t xml:space="preserve">שרותי שליחויות </t>
  </si>
  <si>
    <t>הוצאות כיבוד לשכת רה"ע ולשכת מנכ"ל</t>
  </si>
  <si>
    <t>הוצאות שתייה וכיבוד</t>
  </si>
  <si>
    <t>הוצאות שתייה וכיבוד (כולל אולמות ספורט)</t>
  </si>
  <si>
    <t>גם השנה תוגברו גנים בסייעות מעבר למתחייב.</t>
  </si>
  <si>
    <t>הקצבה למרכז "אגדה"</t>
  </si>
  <si>
    <t>הקצבה לתאגיד התרבות להפעלת "בר בעיר"</t>
  </si>
  <si>
    <t>מוזיאון ראשונים</t>
  </si>
  <si>
    <t>הכנסות מפעולות מוזיאון בית ראשונים (במקביל בהוצאות בסעיף 82621/781)</t>
  </si>
  <si>
    <t>הוצאות לפעולות ואחרות (מותנה בהכנסות בסעיף 32621/420)</t>
  </si>
  <si>
    <t xml:space="preserve">מעשי"ם </t>
  </si>
  <si>
    <t xml:space="preserve">הערכת תוכניות חינוכיות </t>
  </si>
  <si>
    <t xml:space="preserve">ארועי ספורט,ליגות,טורנירים,טריאטלון,הרקדות בספורטק, משחה הרצליה </t>
  </si>
  <si>
    <t>נספח - כח אדם:</t>
  </si>
  <si>
    <t>שכר דירה ודמי ניהול - מרכז "אגדה"</t>
  </si>
  <si>
    <t>פירוט המשרות:</t>
  </si>
  <si>
    <r>
      <t>תקציב רגיל</t>
    </r>
    <r>
      <rPr>
        <b/>
        <sz val="11"/>
        <color indexed="8"/>
        <rFont val="David"/>
        <family val="2"/>
        <charset val="177"/>
      </rPr>
      <t xml:space="preserve">  -  באלפי ש"ח</t>
    </r>
  </si>
  <si>
    <t>קבועות</t>
  </si>
  <si>
    <t>זמניות</t>
  </si>
  <si>
    <t xml:space="preserve">שכר תיגבור לימודים, יוזמות ופרוייקטים פדגוגיים (כולל ש' הוראה אפקטיביות) </t>
  </si>
  <si>
    <t xml:space="preserve">שכר תיגבור לימודים, יוזמות ופרוייקטים פדגוגיים (כולל שעות הוראה אפקטיביות) </t>
  </si>
  <si>
    <t>עובדי תחזוקת מבני חינוך (סעיף מתחלק בין חינוך לבין כלל העירייה - יחד עם ס. 9383/100)</t>
  </si>
  <si>
    <t>סה"כ משכורות  (מתחלק עם סעיף 81796/100)</t>
  </si>
  <si>
    <r>
      <rPr>
        <b/>
        <sz val="11"/>
        <rFont val="David"/>
        <family val="2"/>
        <charset val="177"/>
      </rPr>
      <t>"משרה זמנית"</t>
    </r>
    <r>
      <rPr>
        <sz val="11"/>
        <rFont val="David"/>
        <family val="2"/>
        <charset val="177"/>
      </rPr>
      <t xml:space="preserve"> - משרה לתקופה שאינה עולה על שנה.</t>
    </r>
  </si>
  <si>
    <r>
      <rPr>
        <b/>
        <sz val="11"/>
        <rFont val="David"/>
        <family val="2"/>
        <charset val="177"/>
      </rPr>
      <t>"משרה קבועה"</t>
    </r>
    <r>
      <rPr>
        <sz val="11"/>
        <rFont val="David"/>
        <family val="2"/>
        <charset val="177"/>
      </rPr>
      <t xml:space="preserve"> - משרה לתקופה העולה על שנה.</t>
    </r>
  </si>
  <si>
    <r>
      <t xml:space="preserve">חינוך </t>
    </r>
    <r>
      <rPr>
        <sz val="11"/>
        <rFont val="David"/>
        <family val="2"/>
        <charset val="177"/>
      </rPr>
      <t>(כולל בריאות)</t>
    </r>
  </si>
  <si>
    <t>סה"כ שכר ופעולות (ללא הנחות בארנונה ופרע"מ):</t>
  </si>
  <si>
    <t xml:space="preserve">ניקוי מגרשים בקבלנות </t>
  </si>
  <si>
    <t xml:space="preserve">השתתפות משרד החינוך בסייעות רפואיות </t>
  </si>
  <si>
    <t>השתתפות הורים בתוכנית "ק"מ של תרבות"</t>
  </si>
  <si>
    <t>השתתפות משרד החינוך בפרוייקט מחוננים ומצטיינים - מינהלה (מזכירה ושרת) (במקביל בהוצאות בסעיף 81721/104)</t>
  </si>
  <si>
    <t>השתתפות מ. הרווחה בשכר עובדי המחלקה</t>
  </si>
  <si>
    <t>אחזקת קטנועים ורכבים - תיפעולי (שאיפ"ה)</t>
  </si>
  <si>
    <t>סה"כ - תמיכות לכוללים ולמוסדות תורניים:</t>
  </si>
  <si>
    <t xml:space="preserve">סה"כ - תרבות תורנית:   </t>
  </si>
  <si>
    <t xml:space="preserve">משכורות כוללות - סייעות רפואיות </t>
  </si>
  <si>
    <t>משכן לאמנים וסופרים  (החל משנת 2016 מופעל באמצעות תאגיד התרבות העירוני)</t>
  </si>
  <si>
    <t>מרכז ספורט אפולוניה  (משנת 2015 מופעל באמצעות עמותת בני הרצליה)</t>
  </si>
  <si>
    <t>תמיכה באגודות בתחום ספורט תחרותי - נוער</t>
  </si>
  <si>
    <t>הקצבה לחברה למרכזים קהילתיים להפעלה אחה"צ (כולל שכר ע' מנהלה)</t>
  </si>
  <si>
    <t xml:space="preserve">קתדרה עממית לעולה (באמצעות החברה למרכזים קהילתיים) </t>
  </si>
  <si>
    <t>מ. יום טיפולי - אופק</t>
  </si>
  <si>
    <t>השתתפות מ. הרווחה בתחנות טיפול במשפחה</t>
  </si>
  <si>
    <t>השתתפות מ. הרווחה בעלויות ועדת תסקירים</t>
  </si>
  <si>
    <t>העסקת בנות שרות - מועדוניות</t>
  </si>
  <si>
    <t>הוצאות ועדת תסקירים</t>
  </si>
  <si>
    <t>מעשי"ם - השתתפות רשויות סמוכות</t>
  </si>
  <si>
    <t>השתתפות לרשויות אחרות במימון הוצאות משותפות</t>
  </si>
  <si>
    <t>אבטחה בקבלנות - אגף רווחה</t>
  </si>
  <si>
    <t>כיסוי הוצאות שכר - שנים קודמות</t>
  </si>
  <si>
    <t>אחזקת מתקני מים - מוס"ח</t>
  </si>
  <si>
    <t>אחזקת מתקני מים - כלל משרדי העיריה</t>
  </si>
  <si>
    <t>שירותי חניה בחניון שער העיר</t>
  </si>
  <si>
    <t>תרומה מעמותת הרוח הטובה</t>
  </si>
  <si>
    <t>תיקונים ואחזקה - בנין העירייה החדש</t>
  </si>
  <si>
    <t>נקיון בקבלנות - בניין לב העיר</t>
  </si>
  <si>
    <t>שכר בשעות אפקטיביות - רובוטיקה</t>
  </si>
  <si>
    <t>הפעלת תוכנית תכנות ורובוטיקה</t>
  </si>
  <si>
    <t>איסוף נייר למחזור</t>
  </si>
  <si>
    <t>תשלומי הורים - תוכנית רובוטיקה</t>
  </si>
  <si>
    <t>אחזקת ציוד - בנין העיריה החדש (תקשוב)</t>
  </si>
  <si>
    <t>פרסומים ודפוס - נגישות</t>
  </si>
  <si>
    <t>סיוע לניצולי שואה</t>
  </si>
  <si>
    <t>מיצוי זכויות לניצולי שואה (טיפול בזקן)</t>
  </si>
  <si>
    <t>החזר הוצאות חשמל</t>
  </si>
  <si>
    <t>מיצוי זכויות לניצולי שואה</t>
  </si>
  <si>
    <t>הוצאות שונות- תכנון עיר</t>
  </si>
  <si>
    <t xml:space="preserve">השתתפות תאגיד מים וביוב בעלויות מחסן (תב"ל) </t>
  </si>
  <si>
    <t>שכר תעסוקת קיץ נערים בסיכון (כולל מפתן)</t>
  </si>
  <si>
    <t>הדמיות ופרזנטציות</t>
  </si>
  <si>
    <r>
      <t>ת ק ב ו ל י ם</t>
    </r>
    <r>
      <rPr>
        <b/>
        <sz val="11"/>
        <rFont val="David"/>
        <family val="2"/>
        <charset val="177"/>
      </rPr>
      <t xml:space="preserve">  -  באלפי ש"ח</t>
    </r>
  </si>
  <si>
    <t>תחזוקת הצללות במרחב הציבורי</t>
  </si>
  <si>
    <t>שרותים מש"ה</t>
  </si>
  <si>
    <t>מיתר - ילדי חוץ</t>
  </si>
  <si>
    <t>סה"כ - התנדבות:</t>
  </si>
  <si>
    <t>8483.</t>
  </si>
  <si>
    <t>מחלקת התנדבות</t>
  </si>
  <si>
    <t>משכורות כוללות - סייעות רפואיות בצהרוני בתיה"ס</t>
  </si>
  <si>
    <t>משכורות כוללות - סייעות צמודות בצהרוני בתיה"ס</t>
  </si>
  <si>
    <t>טיפול בהורים ובילדיהם - אוטיסטים</t>
  </si>
  <si>
    <t>נופשונים וקייטנות לילדים  - אוטיסטים</t>
  </si>
  <si>
    <t>משכורות כוללות - מפת"ן ארז</t>
  </si>
  <si>
    <t>השתתפות משר"ח לבי"ס על יסודי צומח ממ"ד ("אחיה")</t>
  </si>
  <si>
    <r>
      <t>ת ש ל ו מ י ם</t>
    </r>
    <r>
      <rPr>
        <b/>
        <sz val="11"/>
        <rFont val="David"/>
        <family val="2"/>
        <charset val="177"/>
      </rPr>
      <t xml:space="preserve">  -  באלפי ש"ח</t>
    </r>
  </si>
  <si>
    <t>דמי אחזקת תו תקן ISO</t>
  </si>
  <si>
    <t>פרס תרבות, אומנות וספורט</t>
  </si>
  <si>
    <t>תיקונים ואחזקת מבנים ורהוט - מוסדות חינוך (יסודיים, חט"ב ותיכונים בניהול עצמי)</t>
  </si>
  <si>
    <t>הוצאות צריכת מים ואגרת ביוב - מוסדות חינוך (יסודיים, חט"ב ותיכונים בניהול עצמי)</t>
  </si>
  <si>
    <t>הוצאות לפעולות - המרכז לשלום המשפחה (הדרכה) - עירוני</t>
  </si>
  <si>
    <t>מרכז קשר - פרט ומשפחה - העסקה באמצעות חב' השמה</t>
  </si>
  <si>
    <t>בתים חמים לנערות - פעולות</t>
  </si>
  <si>
    <t>מיתר - מרכז יום חינוך ארוך - הוצאות</t>
  </si>
  <si>
    <t xml:space="preserve">משפחות במצוקה - פרט ומשפחה - עולים </t>
  </si>
  <si>
    <t xml:space="preserve">העירייה ממשיכה לשמור על מעמדה כרשות איתנה. </t>
  </si>
  <si>
    <t>בהתאם לתיקון שנעשה בתקנות רשויות מקומיות (הכנת תקציבים), צורף נספח תקן כח-אדם בו מפורטות מספר המשרות הקבועות והזמניות, לפי סעיף תקציבי.</t>
  </si>
  <si>
    <t>תיקונים, אחזקה והצטיידות</t>
  </si>
  <si>
    <t>חומרים שוטפים וציוד גינון</t>
  </si>
  <si>
    <t>נקיון וגינון בקבלנות (כולל ייעוץ)</t>
  </si>
  <si>
    <t>אחזקת אינטרנט עירוני ודיגיטל</t>
  </si>
  <si>
    <t>שכר הכנת הקהילה לשעת חירום (במימון הקואליציה לטראומה - סעיף 348201/792)</t>
  </si>
  <si>
    <t xml:space="preserve">הכנסות שונות (זיכויים, מכרזים וכו') </t>
  </si>
  <si>
    <t xml:space="preserve">בקרה על העסקת עובדי קבלן </t>
  </si>
  <si>
    <t xml:space="preserve">שכ"ט עו"ד בגין אכיפה משפטית </t>
  </si>
  <si>
    <t xml:space="preserve">משכורות כוללות - מנהלי רבעים </t>
  </si>
  <si>
    <t>בנוסף לתקציב האמור לעיל, עיריית הרצליה מפעילה תאגידים כמפורט להלן: החברה העירונית לפיתוח תיירות (מרינה), החברה לפיתוח הרצליה (כלכלית), חברת "מי הרצליה" בע"מ, החברה לאומנות ותרבות, בית העלמין, עמותה למען גימלאי הזהב - בית הורים, בני הרצליה, מרכז קהילתי לספורט תרבות ונופש (בריכת נורדאו), עמותת על"ה, החברה למרכזים קהילתיים.</t>
  </si>
  <si>
    <t>הפעלת תל"ן בבתי הספר</t>
  </si>
  <si>
    <t xml:space="preserve">שכר סייעות טיפוליות וחונכות </t>
  </si>
  <si>
    <t>סבסוד יול"א בגני-ילדים באמצעות החברה למרכזים קהילתיים</t>
  </si>
  <si>
    <t xml:space="preserve">ביום 26 ביולי 2017 פורסם החוק לפיקוח על הפעלת צהרונים התשע"ז 2017. במסגרת החוק נקבעו בין היתר הוראות לעניין פיקוח ובקרה על הצהרונים המופעלים ע"י הרשויות המקומיות ו/או מי מטעמן, עבור ילדים מגיל גן ועד כיתה ג. עפ"י החקיקה כאמור, שר החינוך יוסמך לקבוע מחיר חודשי מירבי שייגבה עבור כל ילד. </t>
  </si>
  <si>
    <t>ביקורת והדרכות בטיחות אש- מוס"ח (כללי בפרק .721)</t>
  </si>
  <si>
    <t>הוצאות מיוחדות (כנגד תרומה מעזבון - 341001/770)</t>
  </si>
  <si>
    <t xml:space="preserve">הקצבה לבני הרצליה להפעלת מרכז הספורט אפולוניה </t>
  </si>
  <si>
    <t>20</t>
  </si>
  <si>
    <t>69-71</t>
  </si>
  <si>
    <t>העירייה בשיתוף עם החברה למרכזים קהילתיים, מממנים באופן מלא, החל מתשע"ז, סייעות רפואיות בצהרונים בגנ"י רגילים וסייעות צמודות בצהרונים לילדי החינוך המיוחד. החל מתשע"ח, העירייה מממנת באופן מלא סייעות רפואיות וצמודות גם בצהרוני בתיה"ס.</t>
  </si>
  <si>
    <t>השתתפות העירייה בהפעלת בית העלמין</t>
  </si>
  <si>
    <t>2019</t>
  </si>
  <si>
    <t>שכר עו"ס לפגיעות מיניות</t>
  </si>
  <si>
    <t>הוצאות לפעולות - בית קינן</t>
  </si>
  <si>
    <t>שכר מלווים למעון יום שיקומי</t>
  </si>
  <si>
    <t>סבסוד יול"א (כולל סייעות) - בתי"ס</t>
  </si>
  <si>
    <t>שכר פרוייקט מציל"ה ומניעת סמים</t>
  </si>
  <si>
    <t>ועד בית - תיאטרון עירוני</t>
  </si>
  <si>
    <t>אחזקת מערכות התראה לרע"ד</t>
  </si>
  <si>
    <t>אחזקת מעליות מוס"ח</t>
  </si>
  <si>
    <t>שכר שירותים קהילתיים - שעות אפקטיביות</t>
  </si>
  <si>
    <t xml:space="preserve">מזון לכלבים </t>
  </si>
  <si>
    <t>תחזוקה והוצאות אחרות במרחב הציבורי</t>
  </si>
  <si>
    <t>אימוץ משפחות שכולות</t>
  </si>
  <si>
    <t>8235.</t>
  </si>
  <si>
    <t>82452.</t>
  </si>
  <si>
    <t>הוצאות לפעולות חינוך מניעתי מול המשרד לביטחון פנים (לשעבר "מצילה")</t>
  </si>
  <si>
    <t xml:space="preserve">הקצבה לתאגיד התרבות העירוני להפעלת מועדון הנוער </t>
  </si>
  <si>
    <t>הוצאות שוטפות - בר אילן</t>
  </si>
  <si>
    <t xml:space="preserve">טיפול שוטף בתשתיות (כבישים, מדרכות, תאורה, צביעה, וכו') </t>
  </si>
  <si>
    <t>סה"כ - תרבות תורנית:</t>
  </si>
  <si>
    <t xml:space="preserve">תמיכה במוסדות בתחום החינוך הפורמלי </t>
  </si>
  <si>
    <t>תמיכה במוסדות בתחום בעלי חיים</t>
  </si>
  <si>
    <t>ספריה במרכז קהילתי יצחק נבון</t>
  </si>
  <si>
    <t>סה"כ - ספריה במרכז קהילתי יצחק נבון:</t>
  </si>
  <si>
    <t>מרכז קהילתי יצחק נבון</t>
  </si>
  <si>
    <t>סה"כ - מרכז קהילתי יצחק נבון:</t>
  </si>
  <si>
    <t xml:space="preserve">תמיכה במוסדות בתחום תרבות תורנית - שיעורי תורה </t>
  </si>
  <si>
    <t>תוכנית "הניצוץ" בחטיבות הביניים</t>
  </si>
  <si>
    <t xml:space="preserve">ייעוץ מקצועי ושונות  </t>
  </si>
  <si>
    <t>טיפול באזרחים ותיקים בסיכון</t>
  </si>
  <si>
    <t>הכנסות ממשרד החינוך - שירותי אימון נבחרת</t>
  </si>
  <si>
    <t>הכנסות מפעולות שונות (במקביל בהוצאות בסעיף 827/781)</t>
  </si>
  <si>
    <t>הכנסות מפעולות שונות (במקביל בהוצאות בסעיף 8281/788)</t>
  </si>
  <si>
    <t>תוכנית "יתד"</t>
  </si>
  <si>
    <t>הוצאות לפעולות - הנגשת אירועים</t>
  </si>
  <si>
    <t>ארגון ומינהל</t>
  </si>
  <si>
    <t>סה"כ  - ארגון ומינהל:</t>
  </si>
  <si>
    <t xml:space="preserve">הוצאות לפעולות בטחון ושונות </t>
  </si>
  <si>
    <t>אחזקת מערכת לחצני מצוקה (מ- 2019 מוסדות עירוניים בסעיף 721/541)</t>
  </si>
  <si>
    <t>תיקונים ואחזקה - מוסדות תרבות ונוער (מ- 2019 כולל סעיף 8289/420)</t>
  </si>
  <si>
    <t xml:space="preserve">תוקצבה הכנסה בסכום של 450 אלש"ח בגין השתתפות המועצה המקומית כפר שמריהו בעלויות החזקת הועדה המקומית לתכנון ובניה. </t>
  </si>
  <si>
    <t>הכנסות ממערך השילוט:</t>
  </si>
  <si>
    <t xml:space="preserve">הכנסות מחניונים: </t>
  </si>
  <si>
    <t>ספריה ביצחק נבון</t>
  </si>
  <si>
    <t xml:space="preserve">הקצבות לתאגיד התרבות להפעלת השלוחה במערב העיר </t>
  </si>
  <si>
    <t xml:space="preserve">הוצאות בגין פרוייקט "אזרחות פעילה ומעורבות חברתית" </t>
  </si>
  <si>
    <t xml:space="preserve">אולמות אילנות,אלון, נוף ים, בן צבי, לב-טוב, וולפסון, בר-אילן וסמדר </t>
  </si>
  <si>
    <t xml:space="preserve">ועדה לסיוע לנזקקים לדיור </t>
  </si>
  <si>
    <t>מרכז יום ותעסוקה לבוגרים - אוטיסטים</t>
  </si>
  <si>
    <t>שכר תוכנית "יתד"</t>
  </si>
  <si>
    <t>הוצאות לפעולות - תוכנית "יתד"</t>
  </si>
  <si>
    <t>שכר בגין תוכנית תעסוקה לצעירים בקהילה (אפיקים)</t>
  </si>
  <si>
    <t>תוכנית תעסוקה לצעירים בקהילה (אפיקים) - פעולות</t>
  </si>
  <si>
    <t>קהילות פונקציונאליות (נכויות)</t>
  </si>
  <si>
    <t>הפרשה לקרן הלוואות לעובדים (ב- 2019 גמול ב' עבר לסעיף 615/785)</t>
  </si>
  <si>
    <t>אירועים ופעולות תרבות יעודיים</t>
  </si>
  <si>
    <t>המדובר, בין היתר,  בנכסים ריקים, במתן הנחות לגמלאים, נכים, נפגעי הנאצים, משפחות חד-הוריות, חיילים משוחררים ועולים חדשים</t>
  </si>
  <si>
    <t>סה"כ  משרדי ממשלה אחרים (להוציא חינוך ורווחה):</t>
  </si>
  <si>
    <t>משרדי ממשלה</t>
  </si>
  <si>
    <t>אחרים</t>
  </si>
  <si>
    <t>סה"כ - מועצה וועדות:</t>
  </si>
  <si>
    <t>השתלמויות והדרכה (כולל השתתפות משר"ח)</t>
  </si>
  <si>
    <t>שירותי אימון נבחרת (בהשתתפות משרד החינוך)</t>
  </si>
  <si>
    <t xml:space="preserve">מינהלת אגף החינוך </t>
  </si>
  <si>
    <t>עבודה קהילתית - צד ג'</t>
  </si>
  <si>
    <t>משכורות כוללות - עובדי מינהלה</t>
  </si>
  <si>
    <t xml:space="preserve">הסעות נכים למרכז תעסוקה </t>
  </si>
  <si>
    <t>הסעות נכים למרכז תעסוקה</t>
  </si>
  <si>
    <t>השתתפות הורים בפרוייקט מחוננים ומצטיינים (במקביל בהוצאות בסעיף 81721/105,81721/782)</t>
  </si>
  <si>
    <t xml:space="preserve">ליווי למעון יום שיקומי </t>
  </si>
  <si>
    <t xml:space="preserve">הסעות למעון יום שיקומי </t>
  </si>
  <si>
    <t>שרותי ארכיב בקבלנות</t>
  </si>
  <si>
    <t>כללי, הקצבות, פנסיה (להוציא חינוך ורווחה) ושונות</t>
  </si>
  <si>
    <t>לא כולל תקציבי תחזוקה, מחשוב ואבטחת מוסדות חינוך.</t>
  </si>
  <si>
    <t>הוצאות טיפול בתיקי הוצל"פ  - נטו</t>
  </si>
  <si>
    <t>הוצאות שילוט ואחרות (ב- 2019 כולל סקר שילוט)</t>
  </si>
  <si>
    <t>טיפוח מתנדבים, ארועים ושונות</t>
  </si>
  <si>
    <t>אחזקת קטנועים ורכבים - תיפעולי (בטחון)</t>
  </si>
  <si>
    <t xml:space="preserve">משכורות כוללות - פיקוח רפואי </t>
  </si>
  <si>
    <t>ניקיון בקבלנות ואחזקה - מרכז למידה שביט</t>
  </si>
  <si>
    <t>העסקת מזכירות סיוע - ניהול עצמי (במקביל בהכנסות בסעיף 3132/921)</t>
  </si>
  <si>
    <t>השתתפות משרד החינוך לשרות הפסיכולוגי - פרוייקטים מיוחדים (במקביל בהוצאות ב- 8173/104)</t>
  </si>
  <si>
    <t>תרומה מעיזבון (במקביל בהוצאות בסעיף 841004/781)</t>
  </si>
  <si>
    <t>מועדוניות משותפות - שכר/מ.החינוך</t>
  </si>
  <si>
    <r>
      <t>ת ש ל ו מ י ם</t>
    </r>
    <r>
      <rPr>
        <b/>
        <sz val="11"/>
        <rFont val="David"/>
        <family val="2"/>
      </rPr>
      <t xml:space="preserve">  -  באלפי ש"ח</t>
    </r>
  </si>
  <si>
    <t>השתתפות בשכ"ל (ב- 2019 גמול ב' הופרד לסעיף 615/525)</t>
  </si>
  <si>
    <r>
      <t>סה"כ - פרעון מלוות  (</t>
    </r>
    <r>
      <rPr>
        <sz val="11"/>
        <rFont val="David"/>
        <family val="2"/>
      </rPr>
      <t>לא כולל פרע"מ לביוב - פרק .971):</t>
    </r>
  </si>
  <si>
    <r>
      <t>תיגבור, יוזמות והעשרה נוספים במערכת החינוך - כלל מוס"ח</t>
    </r>
    <r>
      <rPr>
        <b/>
        <sz val="11"/>
        <rFont val="David"/>
        <family val="2"/>
      </rPr>
      <t xml:space="preserve">
(בנוסף לתקציבים שנרשמו בפרקים היעודיים)</t>
    </r>
  </si>
  <si>
    <r>
      <t>סה"כ - בית העלמין</t>
    </r>
    <r>
      <rPr>
        <sz val="11"/>
        <rFont val="David"/>
        <family val="2"/>
      </rPr>
      <t>:</t>
    </r>
  </si>
  <si>
    <r>
      <t>פרעון מלוות לביוב</t>
    </r>
    <r>
      <rPr>
        <sz val="11"/>
        <rFont val="David"/>
        <family val="2"/>
      </rPr>
      <t xml:space="preserve"> </t>
    </r>
  </si>
  <si>
    <t>תמיכה במוסדות בתחום החינוך הבלתי פורמלי</t>
  </si>
  <si>
    <t>הקצבה לבני הרצליה להפעלת כדוריד בוגרים</t>
  </si>
  <si>
    <t>תמיכה במוסדות בתחום הבריאות</t>
  </si>
  <si>
    <t>תמיכה במוסדות בתחום הרווחה</t>
  </si>
  <si>
    <t>327.</t>
  </si>
  <si>
    <t>3281.</t>
  </si>
  <si>
    <t>הוצאות הקלטה ורישום סטנוגרמות - מועצה (באחריות ארגון ומינהל)</t>
  </si>
  <si>
    <t>וכן מקבלי הנחות בגין תשלומים באמצעות הוראות קבע.</t>
  </si>
  <si>
    <t>סעיפי 87. - הקצבות לתאגידים עירוניים, יחידות סמך ומוסדות הרשות.</t>
  </si>
  <si>
    <t>חגיגות וארועים</t>
  </si>
  <si>
    <t>סה"כ - חגיגות וארועים:</t>
  </si>
  <si>
    <t>חגיגות וארועים:</t>
  </si>
  <si>
    <t>הוצאות כיבוד ושתיה</t>
  </si>
  <si>
    <t>שכר מנהלות מוז"ה ומרכזי למידה</t>
  </si>
  <si>
    <t>מכללת גימלאים (באמצעות עמותת על"ה)</t>
  </si>
  <si>
    <t>רכישת ציוד יסודי ואחזקתו</t>
  </si>
  <si>
    <t xml:space="preserve">אירועים ופעולות תרבות </t>
  </si>
  <si>
    <t>שכר דירה מע"שים (כולל מעון יום השרון)</t>
  </si>
  <si>
    <t xml:space="preserve">תיגבור שירותים מש"ה - עירוני </t>
  </si>
  <si>
    <t>בתים חמים לנערים (מ 2019 נכלל בסעיף 847102/840)</t>
  </si>
  <si>
    <t>טיפול בנוער ובצעירים (מ 2019 כולל בתים חמים לנערים)</t>
  </si>
  <si>
    <t>משכורות כוללות - מינהלת אגף תב"ל</t>
  </si>
  <si>
    <t>עו"ס לצוות רווחה עירוני (מ 2019 נכלל בסעיף 841001/100)</t>
  </si>
  <si>
    <t>שכר - טיפול ילד בסיכון (מ 2019 נכלל בסעיף 843504/184)</t>
  </si>
  <si>
    <t xml:space="preserve">תיעול וניקוז 745/420 ; פארק הרצליה 7461 ; סעיפי 420  - תיקונים ואחזקת מבני עירייה ומוסדות חינוך (למעט </t>
  </si>
  <si>
    <t>פרק 616 ; סעיפי הוצאות מיכון 570; סעיפי תקשורת 540.</t>
  </si>
  <si>
    <t>ארנונה - הנחות מימון למשלמים בהוראות קבע</t>
  </si>
  <si>
    <t>הנחות מימון בארנונה למשלמים בהוראות קבע</t>
  </si>
  <si>
    <t>ריכוז והתפלגות ההוצאות לשכר ופעולות - עפ"י אחריות אגפית</t>
  </si>
  <si>
    <t>2020</t>
  </si>
  <si>
    <t>שירותי ייעוץ בנושא ניקוז</t>
  </si>
  <si>
    <t>הפעלת תוכנית אפשרי בריא בעיר</t>
  </si>
  <si>
    <t>שכ"ד וועד בית - חיילי נח"ל</t>
  </si>
  <si>
    <t>סה"כ  - בריאות:</t>
  </si>
  <si>
    <t>33.</t>
  </si>
  <si>
    <t>331.</t>
  </si>
  <si>
    <t>הוצאות לפעולות - מרכז יזמות</t>
  </si>
  <si>
    <t>העסקת כ"א באמצעות חברת השמה</t>
  </si>
  <si>
    <t>הוצאות אחזקת מעלית - רווחה</t>
  </si>
  <si>
    <t>רכב תפעולי - מחלקת כבישים-הנדסה</t>
  </si>
  <si>
    <t>העסקה באמצעות חב' השמה</t>
  </si>
  <si>
    <t>שכר לנוער בתעסוקת קיץ–חופיקס</t>
  </si>
  <si>
    <t>הוצאות בגין אכיפה מינהלית - נטו</t>
  </si>
  <si>
    <t>שכ"ט בגין אכיפה מינהלית</t>
  </si>
  <si>
    <t>עמלות גבייה</t>
  </si>
  <si>
    <t xml:space="preserve">מועדוני ספורט בית ספריים באמצעות בני הרצליה </t>
  </si>
  <si>
    <t>העסקת כ"א באמ.חב.השמה-מניעת סמים</t>
  </si>
  <si>
    <t>הוצאות להפעלת החווה החקלאית בגליל ים</t>
  </si>
  <si>
    <t>תפעול מרכז לנערים/נערות בסיכון</t>
  </si>
  <si>
    <t>הכנסות מהשכרת ערוגות בחוה בגליל ים</t>
  </si>
  <si>
    <t>שכר רכז פעילות קהילתית - יוחנני</t>
  </si>
  <si>
    <t>הסעות מוגבלויות -  עירוני</t>
  </si>
  <si>
    <t>יתד תוכניות לצעירים</t>
  </si>
  <si>
    <t>מיתוג ויחסי ציבור לעיר</t>
  </si>
  <si>
    <t>הוצאות לפעולות (החל מ2020 כולל את 615/522, 615/560)</t>
  </si>
  <si>
    <t>הפעלת מועדון גלישה עבור ילדים עם צרכים מיוחדים</t>
  </si>
  <si>
    <t>יוזמות עירוניות - תנועות נוער</t>
  </si>
  <si>
    <t>שכר אבות בית-פתיחת אולמות סופ"ש וחול המועד (מותנה בהכנסות סעיף 3291/421)</t>
  </si>
  <si>
    <t>השתתפות משרד החינוך בפ. ת. תורנית (במקביל בהוצאות בסעיף 827/781)</t>
  </si>
  <si>
    <t>השתתפות משרד החינוך בפעילות נוער (במקביל בהוצאות בסעיף 8281/788)</t>
  </si>
  <si>
    <t>הכנסות מהשכרת אולמות ספורט בסופ"ש וחול המועד (במקביל בהוצאות בסעיף 8291/101)</t>
  </si>
  <si>
    <t>השתתפות משרד התרבות והספורט (ע"י מכון וינגייט) בפעילות אתנה הולכות רחוק</t>
  </si>
  <si>
    <t>השתתפות הרשות הממשלתית להתחדשות עירונית</t>
  </si>
  <si>
    <t>הקצבה לתאגיד התרבות למרכז פיס לתרבות, מוזיקה וקהילה- תא"ו מערב העיר</t>
  </si>
  <si>
    <t>613001.</t>
  </si>
  <si>
    <t>גיזומים במוס"ח בניהול עצמי (עד 2019 בסעיף 746/760)</t>
  </si>
  <si>
    <t>גיזומים במוס"ח בניהול עצמי (מ- 2020 בסעיף 81796/753)</t>
  </si>
  <si>
    <t>ניטור יתושים (מ- 2020 בסעיף 715/751)</t>
  </si>
  <si>
    <t>ניטור יתושים (עד 2019 בסעיף 879/750)</t>
  </si>
  <si>
    <t>השתתפות בהוצאות הפעלת הבי"ס הימי (מ- 2020 כולל ניקיון. עד 2019 נרשם ב- 8132/750)</t>
  </si>
  <si>
    <t>השתתפות משרד הבריאות בפרוייקט "אפשרי בריא"</t>
  </si>
  <si>
    <t xml:space="preserve">החזר עלות סייעת רפואית מרשות אחרת </t>
  </si>
  <si>
    <t xml:space="preserve">משכורות כוללות - סטודנטים </t>
  </si>
  <si>
    <t>הוצאות משרד ושונות (החל מ- 2020 יחד עם ס.ת 615/780)</t>
  </si>
  <si>
    <t xml:space="preserve">שירותי ייעוץ בנושאי מיחשוב (מתאם האוטומציה) </t>
  </si>
  <si>
    <t>שכר בתחום השירותים הפרא-רפואיים</t>
  </si>
  <si>
    <t>ליווי תוכנית EACH במערך החינוך (מ- 2020 בסעיפי היוזמות)</t>
  </si>
  <si>
    <t>שרותים טיפוליים (מ- 2020 בסעיף 842401/184)</t>
  </si>
  <si>
    <t xml:space="preserve">הוצאות שוטפות - ממלכתי דתי </t>
  </si>
  <si>
    <t>הוצאות לפעולות - יוזמה פדגוגית "מסעות" (במקביל בהכנסות - סעיף 3159/770)</t>
  </si>
  <si>
    <t>הפעלת חינוך לבריאות השן במימון עירוני (כולל סבסוד טיפולי שיניים)</t>
  </si>
  <si>
    <t>מינהלת סוקולוב ואזור התעשייה</t>
  </si>
  <si>
    <t>הוצאות לפעולות ואחרות (מותנה בהכנסות בסעיף 327/920, 327/420)</t>
  </si>
  <si>
    <t>הוצאות לפעולות ואחרות (מותנה בהכנסות בסעיף 3281/420, 3281/920)</t>
  </si>
  <si>
    <t xml:space="preserve">  </t>
  </si>
  <si>
    <t>הפעלת מרכז הלמידה ויצמן (באמצעות החברה למרכזים קהילתיים בע"מ)</t>
  </si>
  <si>
    <t>הפעלת מרכז למידה בנוה ישראל - באמצעות החברה למרכזים קהילתיים בע"מ</t>
  </si>
  <si>
    <t>הפעלת מרכז למידה בנוה ישראל - הנחות, יוזמות, שימוש בכיתות לימוד, באמצעות החברה למרכזים קהילתיים בע"מ</t>
  </si>
  <si>
    <t>הקצבות לחברה למרכזים קהילתיים בע"מ להפעלת הספריה</t>
  </si>
  <si>
    <t>החברה למרכזים קהילתיים</t>
  </si>
  <si>
    <t xml:space="preserve">הפעלת מועדון בית כליי </t>
  </si>
  <si>
    <t>מתנ"ס יד התשעה - "מולדובן" (באמצעות החברה למרכזים קהילתיים בע"מ)</t>
  </si>
  <si>
    <t>סה"כ - החברה למרכזים קהילתיים:</t>
  </si>
  <si>
    <t>סה"כ - מתנ"ס יד התשעה - "מולדובן" (באמצעות החברה למרכזים קהילתיים בע"מ):</t>
  </si>
  <si>
    <t>מתנ"ס נוה ישראל (באמצעות החברה למרכזים קהילתיים בע"מ)</t>
  </si>
  <si>
    <t>סה"כ - מתנ"ס נוה ישראל (באמצעות החברה למרכזים קהילתיים בע"מ):</t>
  </si>
  <si>
    <t>מרכז קהילתי יבור (באמצעות החברה למרכזים קהילתיים בע"מ)</t>
  </si>
  <si>
    <t>סה"כ - מרכז קהילתי יבור (באמצעות החברה למרכזים קהילתיים בע"מ):</t>
  </si>
  <si>
    <t>מועדון נחלת עדה (באמצעות החברה למרכזים קהילתיים בע"מ)</t>
  </si>
  <si>
    <t>סה"כ - מועדון נחלה עדה (באמצעות החברה למרכזים קהילתיים בע"מ):</t>
  </si>
  <si>
    <t>הקצבה להפעלת מועדון נחלת עדה</t>
  </si>
  <si>
    <t>מרכז קהילתי ואולם ספורט בנוף ים (באמצעות החברה למרכזים קהילתיים בע"מ)</t>
  </si>
  <si>
    <t>סה"כ - מרכז קהילתי ואולם ספורט בנוף ים (באמצעות החברה למרכזים קהילתיים בע"מ):</t>
  </si>
  <si>
    <t>הקצבה לחברה למרכזים קהילתיים בע"מ לפעילות העדה האתיופית</t>
  </si>
  <si>
    <t>הקצבה לחברה למרכזים קהילתיים בע"מ לפעילות נוער שכונתית</t>
  </si>
  <si>
    <t>הקצבות שוטפות למתנ"ס להפעלת האולם (באמצעות החברה למרכזים קהילתיים בע"מ)</t>
  </si>
  <si>
    <t>הקצבה להפעלת מועדון 60+ (באמצעות החברה למרכזים קהילתיים בע"מ)</t>
  </si>
  <si>
    <t>פגיעות מיניות בגירים ונפגעות תקיפה מינית</t>
  </si>
  <si>
    <t xml:space="preserve">מ.יום שיקומי לנכים ואוטיסטים - צד ג' </t>
  </si>
  <si>
    <t>הכנסות מפרויקט חופיקס ותקבולי נוצ"ץ</t>
  </si>
  <si>
    <t>משר"ח לחינוך היסודי  (שרתים ומזכירות)</t>
  </si>
  <si>
    <t>נוצ"ץ (כולל בתים חמים לנערים)  עירוני</t>
  </si>
  <si>
    <t>משכורות כוללות - סייעות מתגברות במימון עירוני מלא</t>
  </si>
  <si>
    <t>משכורות כוללות - סייעות מתגברות במימון משרד החינוך</t>
  </si>
  <si>
    <t xml:space="preserve">שרות משלים למשפחות עם מוגבליות  </t>
  </si>
  <si>
    <t xml:space="preserve">אחזקה </t>
  </si>
  <si>
    <t>שכר - שירותים טיפוליים (מ-2020 כולל סעיף 842401/840)</t>
  </si>
  <si>
    <t>עזרה לקשישים - עירוני (ניידת) (מ- 2020 נכלל בסעיף 844406/781)</t>
  </si>
  <si>
    <t>הוצאות לפרוייקטים מיוחדים (עד 2019 נכלל בסעיף 8173/104)</t>
  </si>
  <si>
    <t>שכר פרוייקטים מיוחדים (מותנה בהשתתפות משרד החינוך בסעיף 3173/921) (מ-2020 הופרד לסעיף 8173/780)</t>
  </si>
  <si>
    <t xml:space="preserve">החזר בגין דמ"ש ופינוי פסולת קרטון (תמי"ר) (הוצאות בסעיף 7121/750) </t>
  </si>
  <si>
    <t>הכנסות מאבחונים ושונות (במקביל בהוצאות בסעיף 8173/221)</t>
  </si>
  <si>
    <t xml:space="preserve">מנהלת סוקולוב ואזה"ת 613001, מחלקה משפטית 617; קשרים בינ"ל 754;  מוקד עירוני 761; ועד עובדים 766;  </t>
  </si>
  <si>
    <t>סה"כ - שרותים מש"ה:</t>
  </si>
  <si>
    <t>הקצבות לתאגידים עירוניים, יחידות סמך ומוסדות הרשות:</t>
  </si>
  <si>
    <t>42</t>
  </si>
  <si>
    <t>ארועי תרבות וקידום המסחר - מינהלת סוקולוב</t>
  </si>
  <si>
    <t>הוצאות לפעולות - מינהלת איזור התעשייה</t>
  </si>
  <si>
    <t>שאטלים ממרכז העיר</t>
  </si>
  <si>
    <t>שאטלים איזור התעשייה</t>
  </si>
  <si>
    <t xml:space="preserve">הסעות ("שאטל") </t>
  </si>
  <si>
    <t>ארועי תרבות וקידום המסחר</t>
  </si>
  <si>
    <t>הקצאת התמיכות מתבצעת על פי נוהל התמיכות, על פי תבחינים שמוכנים ע"י אגפי העירייה, נבחנים ומאושרים ע"י ועדה מקצועית ומאושרים ע"י מועצת העיר.</t>
  </si>
  <si>
    <t>השתתפות נוספת של המשרד לאיכות הסביבה</t>
  </si>
  <si>
    <t xml:space="preserve">הכנסות ממערך השילוט </t>
  </si>
  <si>
    <t>השתתפות האיחוד האירופאי (במקביל בהוצאות בסעיפים 879/101,786)</t>
  </si>
  <si>
    <t xml:space="preserve"> הוצאות לפעולות - פרויקט האיחוד האירופי (במקביל בהכנסות בסעיף 379/770) </t>
  </si>
  <si>
    <t>שעות קנויות מנהלה והוראה (במקביל בהוצאות בסעיף 8132/109)</t>
  </si>
  <si>
    <t>שעות קנויות מנהלה והוראה (במקביל בהכנסות בסעיף 3132/490)</t>
  </si>
  <si>
    <t>שעות קנויות הוראה ומנהלה (במקביל בהוצאות בסעיף 814/109)</t>
  </si>
  <si>
    <t>שעות קנויות - הוראה ומנהלה (במקביל בהכנסות בסעיף 314/490)</t>
  </si>
  <si>
    <t>שעות קנויות הוראה ומנהלה (במקביל בהוצאות בסעיף 8152/109)</t>
  </si>
  <si>
    <t>שעות קנויות - הוראה ומנהלה (במקביל בהכנסות בסעיף 3152/490)</t>
  </si>
  <si>
    <t>דמי ביטוח תלמידים (הוצאות בסעיף 8175/440)</t>
  </si>
  <si>
    <t>הוצאות ביטוח תלמידים (הכנסות סעיף 3175/420)</t>
  </si>
  <si>
    <t>משכורות כוללות - מינהלת יול"א (במקביל בהכנסות בסעיף 31792/420)</t>
  </si>
  <si>
    <t>הכנסות בגין ניהול ופיקוח - יול"א גנ"י (במקביל בהוצאות בסעיף 81792/106)</t>
  </si>
  <si>
    <t>מינהלת סוקולוב (החל משנת 2020 בפרק 613001)</t>
  </si>
  <si>
    <t>מינהלת אזור התעשיה (החל משנת 2020 בפרק 613001)</t>
  </si>
  <si>
    <t>מינהלת סוקולוב ואזור התעשייה (עד 2019 מינהלת סוקולוב בפרק 8221 ומינהלת אזור התעשייה בפרק 771)</t>
  </si>
  <si>
    <t>סה"כ  - מינהלת סוקולוב ואזור התעשייה :</t>
  </si>
  <si>
    <t xml:space="preserve">נבחרים 6111;  מועצה וועדות 6112;  הנהלה כללית 6113;  מבקר העירייה 612;  נת"צ  6121;  ארגון ומינהל 613;   </t>
  </si>
  <si>
    <t>רזרבות כללית, רה"ע, מנכ"ל 994.</t>
  </si>
  <si>
    <t>גזברות 621; שומה וגבייה 623; הוצאות מימון 63; פרע"מ 64; ביטוחי העירייה 767 ; נכסים 933; הנחות ארנונה,</t>
  </si>
  <si>
    <t>סעיפי שכ"ד 410</t>
  </si>
  <si>
    <t xml:space="preserve">מינהל 711;  נקיון כללי 712;  רישוי עסקים ופיקוח תברואי 713;  שרות וטרנירי 714;  תברואה מונעת 715;  </t>
  </si>
  <si>
    <t xml:space="preserve">גנים ונטיעות 746; תרבות הדיור 764;  איכות הסביבה 879.    </t>
  </si>
  <si>
    <t xml:space="preserve">משרד מהנדס העיר 731;  תכנון ובניין עיר 732;  רישוי הבנייה 7331;  התחדשות עירונית 7322; פיקוח על הבנייה 7332; </t>
  </si>
  <si>
    <t xml:space="preserve">תיאום ובקרה הנדסיים  734; כבישים ומדרכות (ללא אחזקה) 742; בטיחות בדרכים - ייעוץ תנועה ותחבורה 744/752; </t>
  </si>
  <si>
    <t>תיעול וניקוז 745.</t>
  </si>
  <si>
    <r>
      <rPr>
        <u/>
        <sz val="11"/>
        <rFont val="David"/>
        <family val="2"/>
        <charset val="177"/>
      </rPr>
      <t>עובדים מושאלים לתאגיד מים וביוב</t>
    </r>
    <r>
      <rPr>
        <sz val="11"/>
        <rFont val="David"/>
        <family val="2"/>
        <charset val="177"/>
      </rPr>
      <t>:  מים  9132/100 ;  ביוב 972;  מכון טיהור 973/100.</t>
    </r>
  </si>
  <si>
    <t xml:space="preserve">רשות החופים וספורט ); סעיפי 747 אחזקת ציוד ומזגנים ; תחזוקת מוס"ח 81796; </t>
  </si>
  <si>
    <t>שרותים לכלל משרדי העירייה 9381 (להוציא חינוך ורווחה);  יח' התחזוקה 9383; מינהלת תב"ל 9384.</t>
  </si>
  <si>
    <t xml:space="preserve">מוסדות כלליים 765; ועדה חקלאית 791; מד"א - שרותי חרום רפואיים  836;  מועצה דתית  851; </t>
  </si>
  <si>
    <t>הוצאות שנים קודמות 993;  פנסיה ופיצויים כללי 9972.</t>
  </si>
  <si>
    <t xml:space="preserve">כוללים ומ' תורניים 856; בית העלמין העירוני 859; אחזקת מע' תקשורת כללי, דואר, טל' וחשמל כללי 9381; </t>
  </si>
  <si>
    <t xml:space="preserve">חינוך 81 (להוציא תקשוב, אחז' ואבטחת מוס"ח ובטיחות במערך החינוך); תנו"ס 82 (כולל קליטת עלייה 86); </t>
  </si>
  <si>
    <t>תאגיד התרבות העירוני 8264; בריאות הציבור 83; שרותי חברה רווחה וקהילה 84.</t>
  </si>
  <si>
    <t xml:space="preserve">רישוי עסקים, פיקוח תברואי ושילוט 713; בטחון ובטיחות 721;  משא"ז 7221; שיטור עירוני 7227; הג"א 723;  </t>
  </si>
  <si>
    <t>מל"ח ופס"ח  726; הדבקת מודעות 7621; פיקוח על חוקי עזר 781;  אבטחת מוס"ח 8171; רשות החנייה 943.</t>
  </si>
  <si>
    <t>הוצאות פרסומים ודפוס סעיפי 550;  הסברה ותדמית 614;  טקסים ואירועים 752.</t>
  </si>
  <si>
    <t>איסוף ופינוי פסולת אריזות קרטון (הכנסות בסעיף 2121/221)</t>
  </si>
  <si>
    <t xml:space="preserve">סיוע לניהול עצמי - תוספת פדגוגית (במקביל  בהכנסות בסעיף 3132/924) </t>
  </si>
  <si>
    <t>מרכז מדעים לגיל הרך בנוה עמל - באמצעות החברה למרכזים קהילתיים בע"מ</t>
  </si>
  <si>
    <t>הפעלת פרוייקט מורים צעירים - באמצעות החברה למרכזים קהילתיים בע"מ</t>
  </si>
  <si>
    <t>הפעלת מרכז למידה שביט - באמצעות החברה למרכזים קהילתיים בע"מ</t>
  </si>
  <si>
    <t xml:space="preserve">מרכז הורות (באמצעות החברה למרכזים קהילתיים בע"מ)  </t>
  </si>
  <si>
    <t>הפעלת הקתדרה (באמצעות החב' למרכזים קהילתיים בע"מ)</t>
  </si>
  <si>
    <t xml:space="preserve">הקצבות לחברה למרכזים קהילתיים בע"מ להפעלת הספריה (כולל תחזוקה) </t>
  </si>
  <si>
    <t>הקצבות שוטפות לחברה למרכזים קהילתיים בע"מ</t>
  </si>
  <si>
    <t>הקצבה לחברה למרכזים קהילתיים בע"מ להפעלת המרכז</t>
  </si>
  <si>
    <t>משכורות כוללות - תנועה ורמזורים</t>
  </si>
  <si>
    <t>מימון משרד המדע פרויקט לוויינים (במקביל בהוצאות בסעיפים 81721/101,81721/783)</t>
  </si>
  <si>
    <t>משכורות כוללות - מוקדני בטחון</t>
  </si>
  <si>
    <t xml:space="preserve">תקשורת למצלמות </t>
  </si>
  <si>
    <t xml:space="preserve">הוצאות אחזקת מצלמות </t>
  </si>
  <si>
    <t>שכר תגבור בשעות אפקטיביות (ילדי הרצל) (עד שנת 2019 בסעיף 81792/101)</t>
  </si>
  <si>
    <t>שרותים נוספים מיוחדים בתחום הרפואי</t>
  </si>
  <si>
    <t>שכר תגבור בשעות אפקטיביות (ילדי הרצל) (משנת 2020 בסעיף 8132/104)</t>
  </si>
  <si>
    <t>הקצבה לתאגיד התרבות העירוני להפעלת משכן לאמנים וסופרים</t>
  </si>
  <si>
    <t>שכר - כבישים ומדרכות (תכנון):</t>
  </si>
  <si>
    <t>שכר - בטיחות בדרכים - תנועה ורמזורים:</t>
  </si>
  <si>
    <t>תחזוקת מכשירי קשר (עד 2019 מירס)</t>
  </si>
  <si>
    <t>מקורי 2020</t>
  </si>
  <si>
    <t>סופי 2020</t>
  </si>
  <si>
    <t>2021</t>
  </si>
  <si>
    <t>הצטיידות + שונות - מרכז יזמות</t>
  </si>
  <si>
    <t>הוצאות שונות משמר השכונה</t>
  </si>
  <si>
    <t>אירועים בשכונות</t>
  </si>
  <si>
    <t>משכורות כוללות - מחלקת שילוט</t>
  </si>
  <si>
    <t>שאיפה</t>
  </si>
  <si>
    <t>תמריץ שיטור עירוני- המ. לבטחון פנים</t>
  </si>
  <si>
    <t>קנסות מנהליים - פיקוח על הבניה</t>
  </si>
  <si>
    <t>הכנסות ממשתתפים - מרכז יזמות</t>
  </si>
  <si>
    <t>מרכז יזמות</t>
  </si>
  <si>
    <t xml:space="preserve">הוצאות למופעי אמנים </t>
  </si>
  <si>
    <t xml:space="preserve">הכנסות מדמי חנייה - מהחב' הכלכלית </t>
  </si>
  <si>
    <t xml:space="preserve">הכנסות שונות - פארק הרצליה </t>
  </si>
  <si>
    <t xml:space="preserve">קנסות פיקוח </t>
  </si>
  <si>
    <t xml:space="preserve">ערב שירי לוחמים לנוער </t>
  </si>
  <si>
    <t>שיפוץ מע"ש מעון יום השרון</t>
  </si>
  <si>
    <t>משר"ח לסיוע לניהול עצמי (במקביל בהוצאות בסעיף 8132/105, 8132/756, 8132/877)</t>
  </si>
  <si>
    <t>הפעלת תוכנית תקשוב במערך החינוך</t>
  </si>
  <si>
    <t>רישוי עסקים, פיקוח תברואי</t>
  </si>
  <si>
    <t>תרבות הדיור ושילוט</t>
  </si>
  <si>
    <t>סה"כ - תרבות הדיור ושילוט:</t>
  </si>
  <si>
    <t>אגרת רשיונות לשלטים</t>
  </si>
  <si>
    <t xml:space="preserve">הסעות לאוטיסטים </t>
  </si>
  <si>
    <t>שכ"ט בגין גביית קנסות חנייה</t>
  </si>
  <si>
    <t xml:space="preserve">הוצאות לפעולות - גמול ב' </t>
  </si>
  <si>
    <t>עדלאידע - הוצאות לפעולות</t>
  </si>
  <si>
    <t>תמיכה בתחום הספורט העממי</t>
  </si>
  <si>
    <t>הסעות וליווי למעון יום שיקומי</t>
  </si>
  <si>
    <t xml:space="preserve">תקציב </t>
  </si>
  <si>
    <t>ה צ ע ת  התקציב הרגיל לשנת: 2021</t>
  </si>
  <si>
    <t>משפחות במצוקה בקהילה (מ- 2020 כולל סעיף 842204/840)</t>
  </si>
  <si>
    <t>סידור במעונות - מש"ה (מ- 2020 כולל סעיף 849003/840)</t>
  </si>
  <si>
    <t>מרכז יום טיפולי - מש"ה (מ- 2020 כולל סעיף 849002/840)</t>
  </si>
  <si>
    <t>שירותים תומכים - מש"ה (מ- 2020 נכלל בסעיף 846803/840)</t>
  </si>
  <si>
    <t>מפעלי שיקום לעיוור (מ- 2020 נכלל בסעיף 846601/840)</t>
  </si>
  <si>
    <t>מפעלי תעסוקה ומועדון לעיוור (מ- 2020 נכלל בסעיף 846707/840)</t>
  </si>
  <si>
    <t>אחזקת נכים בפנימיות (מ- 2020 כולל סעיף 849001/840)</t>
  </si>
  <si>
    <t>תעסוקה מוגנת למוגבל (מ- 2020 כולל סעיף 846401/840)</t>
  </si>
  <si>
    <t>מועדון חברתי לבוגרים (מ- 2020 כולל סעיף 846402/840)</t>
  </si>
  <si>
    <t>בוגרים עיוורים בקהילה (מ- 2020 נכלל בסעיף 846803/840)</t>
  </si>
  <si>
    <t>טיפול בנוער מתמכר (מ- 2020 נכלל בסעיף 847301/840)</t>
  </si>
  <si>
    <t>שיקום נכים בפנימיות - עולים (מ- 2020 נכלל בסעיף 846501/840)</t>
  </si>
  <si>
    <t>מרכז יום טיפולי - מש"ה - עולים (מ- 2020 נכלל בסעיף 845202/840)</t>
  </si>
  <si>
    <t>סידור במעונות - מש"ה - עולים (מ- 2020 נכלל בסעיף 845104/840)</t>
  </si>
  <si>
    <t>אחזקת נכים בפנימיות (מ- 2020 כולל סעיף 349001/930)</t>
  </si>
  <si>
    <t>סידור במעונות - מש"ה  (מ- 2020 כולל סעיף 349003/930)</t>
  </si>
  <si>
    <t>מ.יום טיפולי - מש"ה  (מ- 2020 כולל סעיף 349002/930)</t>
  </si>
  <si>
    <t>מועדון חברתי לבוגרים (מ-2020 כולל סעיף 346402/930)</t>
  </si>
  <si>
    <t>תעסוקה מוגנת למוגבל (מ-2020 כולל סעיף 346401/930)</t>
  </si>
  <si>
    <t>משפחות במצוקה בקהילה  (מ-2020 כולל סעיף 342204/930)</t>
  </si>
  <si>
    <t>סידור במעונות - מש"ה - עולים (מ-2020 נכלל בסעיף 345104/930)</t>
  </si>
  <si>
    <t>מ.יום טיפולי-עולים (מ-2020 נכלל בסעיף 345202/930)</t>
  </si>
  <si>
    <t>שירותים תומכים - מש"ה (מ-2020 נכלל בסעיף 346803/930)</t>
  </si>
  <si>
    <t>בוגרים עיוורים בקהילה (מ-2020 נכלל בסעיף 346803/930)</t>
  </si>
  <si>
    <t>מפעלי תעסוקה ומועדון לעיוור (מ-2020 נכלל בסעיף 346707/930)</t>
  </si>
  <si>
    <t>מפעלי שיקום לעיוור (מ-2020 נכלל בסעיף 346601/930)</t>
  </si>
  <si>
    <t>תוכניות מעבר (מ-2020 נכלל בסעיף 346602/930)</t>
  </si>
  <si>
    <t>סיוע למשפחות עם ילדים (מ-2020 נכלל בסעיף 342202/930)</t>
  </si>
  <si>
    <t>טיפול בנוער מתמכר (מ-2020 נכלל בסעיף 347301/930)</t>
  </si>
  <si>
    <t>תוכניות מעבר (מ- 2020 נכלל בסעיף 846602/840)</t>
  </si>
  <si>
    <t>תוכניות תעסוקה (מ- 2020 כולל סעיף 846603/840)</t>
  </si>
  <si>
    <t>שיקום בקהילה - מוגבלויות (מ- 2020 כולל סעיפים 845301/840, 846805/840)</t>
  </si>
  <si>
    <t>נפגעי התמכרויות טיפול בקהילה (מ- 2020 כולל סעיף 847303/840)</t>
  </si>
  <si>
    <t>תוכניות תעסוקה (מ-2020 כולל סעיף 346603/930)</t>
  </si>
  <si>
    <t>שיקום בקהילה - מוגבלויות (מ- 2020 כולל סעיפים 345301/930, 346805/930)</t>
  </si>
  <si>
    <t>נפגעי התמכרויות טיפול בקהילה (מ-2020 כולל סעיף 347303/930)</t>
  </si>
  <si>
    <t>סיוע למשפחות עם ילדים (מ- 2020 נכלל בסעיף 842202/840)</t>
  </si>
  <si>
    <t>קנסות בגין הסדר מותנה - פיקוח על הבניה</t>
  </si>
  <si>
    <t>ארנונה שלא למגורים - שיפוי קורונה</t>
  </si>
  <si>
    <t>הקצבה לתאגיד התרבות עבור הצטיידות בכלי נגינה</t>
  </si>
  <si>
    <t>שכר סייעת שניה - חופש גדול גני ילדים</t>
  </si>
  <si>
    <t>השתתפות מפעל הפיס בתוכנית הפעלה לנוער</t>
  </si>
  <si>
    <t>סיוע משרד הפנים בהכשרת פקחים - קורונה</t>
  </si>
  <si>
    <t>אגרת רישוי עסקים</t>
  </si>
  <si>
    <t>הפעלת קפסולות במרחבים עירוניים</t>
  </si>
  <si>
    <t>ארנונה - הנחות שניתנו בשל משבר הקורונה</t>
  </si>
  <si>
    <t>הנחות בארנונה שניתנו בשל משבר הקורונה</t>
  </si>
  <si>
    <t>7299.</t>
  </si>
  <si>
    <t>כיסוי הוצאות לשעת חרום</t>
  </si>
  <si>
    <t>סל סיוע למשבר הקורונה - משרד הפנים</t>
  </si>
  <si>
    <t>הוצאות לשעת חירום</t>
  </si>
  <si>
    <t>הוצאות לשעת חרום</t>
  </si>
  <si>
    <t>שכר תגבור פיקוח - משבר קורונה</t>
  </si>
  <si>
    <t>שכר תגבור מוקד - משבר קורונה</t>
  </si>
  <si>
    <t>שכר מתשאלים רשותיים - משבר קורונה</t>
  </si>
  <si>
    <t>הסברה ופרסום - משבר קורונה</t>
  </si>
  <si>
    <t>ציוד מיגון והצטיידות - משבר קורונה</t>
  </si>
  <si>
    <t>סה"כ  - הוצאות לשעת חרום:</t>
  </si>
  <si>
    <t>פעולות בטיחות - כללי (עד שנת 2020 חלק מסעיף 817950/781)</t>
  </si>
  <si>
    <t>רכישת ציוד יסודי - אולם זאב</t>
  </si>
  <si>
    <t xml:space="preserve">אולמות אילנות, אלון, נוף ים, בן צבי, לב-טוב, וולפסון, בר-אילן, זאב וסמדר </t>
  </si>
  <si>
    <t>מסגרות חסות הנוער</t>
  </si>
  <si>
    <t>מנהל מרכז ופעילות קהילתית יצחק נבון (מ- 2021 בסעיף 82452/781)</t>
  </si>
  <si>
    <t xml:space="preserve">רזרבה לפתיחת גני-ילדים בשנה"ל תשפ"ב (9-12/2021) </t>
  </si>
  <si>
    <t>הכנסות ממפעל הפיס לרכישת מחשבים (במקביל בהוצאות בסעיף 841004/780)</t>
  </si>
  <si>
    <t>הוצאות שונות (בשנת 2020 30 אש"ח במקביל בהכנסות בסעיף 341001/740)</t>
  </si>
  <si>
    <t>סיוע בארוחות חמות למשפחות במצוקה – כללי</t>
  </si>
  <si>
    <t>סיוע בארוחות חמות למשפחות במצוקה – רווחה</t>
  </si>
  <si>
    <t>איסוף ופינוי פסולת אריזות פלסטיק (הכנסות בסעיף 2121/223)</t>
  </si>
  <si>
    <t xml:space="preserve">הצטיידות חד פעמית - מ.קהילתי נבון </t>
  </si>
  <si>
    <t>הוצאות לפעולות אתנה "הולכות רחוק"</t>
  </si>
  <si>
    <t>הקצבה לבני הרצליה להפעלת כדורסל נשים (ב- 2020 נכלל בסעיף 8299/825)</t>
  </si>
  <si>
    <t>בני הרצליה</t>
  </si>
  <si>
    <t>החזר בגין איסוף ופינוי אריזות פלסטיק (אל"ה) (הוצאות בסעיף 7121/754)</t>
  </si>
  <si>
    <t>שאטלים גליל ים</t>
  </si>
  <si>
    <t xml:space="preserve">"עמליה" - פעילות קהילתית בנווה עמל </t>
  </si>
  <si>
    <t xml:space="preserve">פעילות קהילתית ורכז - הרצליה ב' </t>
  </si>
  <si>
    <t>פעילות קהילתית ורכז - הרצליה הצעירה</t>
  </si>
  <si>
    <t>פעילות קהילתית - מרכז העיר</t>
  </si>
  <si>
    <t>פעילות קהילתית ורכז - גליל ים</t>
  </si>
  <si>
    <t>פעילות קהילתית הרצליה הירוקה - יוחנני</t>
  </si>
  <si>
    <t>פעילות קהילתית הרצליה הירוקה - ברנר</t>
  </si>
  <si>
    <t>פעילות קהילתית נווה ישראל</t>
  </si>
  <si>
    <t>פעילות קהילתית ורכז - יבור</t>
  </si>
  <si>
    <t>פעילות קהילתית - יצחק נבון (עד 2020 בסעיף 82991/781)</t>
  </si>
  <si>
    <t>שרותי ניהול וליווי מוסיקלי "יחדיו"</t>
  </si>
  <si>
    <t xml:space="preserve">פרסום בעתונות מקומית </t>
  </si>
  <si>
    <t>העברה מהעודף הנצבר לתקציב הרגיל</t>
  </si>
  <si>
    <t>הכנסות מפינוי גרוטאות והחרמות (במקביל בהוצאות  בסעיף 781/781)</t>
  </si>
  <si>
    <t>גננות עובדות מדינה (טרום חובה + חובה)  (הכנסות בסעיף 3122/921)</t>
  </si>
  <si>
    <t>הנגשה טכנולוגית פרטנית - משרד החינוך (הכנסות בסעיף 3136/922)</t>
  </si>
  <si>
    <t>השתתפות משרד החינוך בהנגשה טכנולוגית פרטנית (הוצאות בסעיף 813601/782)</t>
  </si>
  <si>
    <t>הכנסות מיוזמה פדגוגית "מסעות" (ג'וינט) (הוצאות בסעיפים 8159/100 (חלקי) ו- 8159/781)</t>
  </si>
  <si>
    <t>שכר פרוייקט לוויינים במימון משרד המדע (במקביל בהכנסות בסעיף 31721/995)</t>
  </si>
  <si>
    <t>משכורות כוללות - פרוייקט מחוננים ומצטיינים (במקביל בהכנסות בסעיף 31721/421)</t>
  </si>
  <si>
    <t>הוצאות לפעולות - פרוייקט מחוננים ומצטיינים (במקביל בהכנסות בסעיף 31721/421)</t>
  </si>
  <si>
    <t>הוצאות לפעולות - פרויקט לוויינים (במקביל בהכנסות בסעיף 31721/995)</t>
  </si>
  <si>
    <t>שכר פרויקט האיחוד האירופי (במקביל בהכנסות בסעיף 379/770)</t>
  </si>
  <si>
    <t>טיפול בילד בקהילה - עירוני (מ- 2020 כולל סעיף 81792/783)</t>
  </si>
  <si>
    <t>סבסוד אוכלוסיות חלשות (צהרונים) א'-ג' (מ- 2020 כלול בסעיף 843503/780)</t>
  </si>
  <si>
    <t>הקצבה לבני הרצליה להפעלת טניס שולחן (עד 2020 במסגרת תמיכות ספורט בוגרים 8299/825)</t>
  </si>
  <si>
    <t>הכנסות ממשתתפים - מרכז הכוון</t>
  </si>
  <si>
    <t>מלגות לאומנים</t>
  </si>
  <si>
    <t>יצירת קשר הורים וילדים</t>
  </si>
  <si>
    <t>יצירת קשר הורים וילדים - ילדי חוץ</t>
  </si>
  <si>
    <t>החזקת אוטיסטים במס' ודיור בקהילה (100%)</t>
  </si>
  <si>
    <t>מועדוניות לילדים  ובוגרים אוטיסטים</t>
  </si>
  <si>
    <t>נופשונים - מש"ה ושיקום - צד ג'</t>
  </si>
  <si>
    <t>נופשונים - מש"ה ושיקום</t>
  </si>
  <si>
    <t>מ.יום שיקומי לנכים, מש"ה ואוטיסטים</t>
  </si>
  <si>
    <t>קייטנות שיקום</t>
  </si>
  <si>
    <t>מרכזי יום לנכים קשים</t>
  </si>
  <si>
    <t>נערות חוץ ביתי</t>
  </si>
  <si>
    <t>דרי רחוב מכורים</t>
  </si>
  <si>
    <t>תוכניות לנגמלים בדיקות סמים</t>
  </si>
  <si>
    <t>תוכניות טיפול בעולים</t>
  </si>
  <si>
    <t>ש"נ דרור + מרכז קשר</t>
  </si>
  <si>
    <t>שכר מנהלת מרכז קשר</t>
  </si>
  <si>
    <t>נופשון לאזרח ותיק</t>
  </si>
  <si>
    <t>מועדוניות לילדים ובוגרים אוטיסטים</t>
  </si>
  <si>
    <t>נופשונים וקייטנות אוטיסטים</t>
  </si>
  <si>
    <t>נופשונים מש"ה ושיקום</t>
  </si>
  <si>
    <t>הצעת התקציב הרגיל לשנת 2021</t>
  </si>
  <si>
    <t>תקציב מוגבלויות - עירוני</t>
  </si>
  <si>
    <t>מ. יום שיקומי נכים, מש"ה, אוטיסטים</t>
  </si>
  <si>
    <t>תוכניות לנגמלים (בדיקות סמים)</t>
  </si>
  <si>
    <t>פ. קהילתי גאוגרפי (מ. גישור)</t>
  </si>
  <si>
    <r>
      <rPr>
        <b/>
        <sz val="8"/>
        <rFont val="David"/>
        <family val="2"/>
      </rPr>
      <t>שירות,</t>
    </r>
    <r>
      <rPr>
        <sz val="8"/>
        <rFont val="David"/>
        <family val="2"/>
      </rPr>
      <t xml:space="preserve"> ארגון ומינהל</t>
    </r>
  </si>
  <si>
    <t>הקצבות למתנ"ס יד התשעה למרכז המוסיקה (מ- 2020 כולל ס.ת. 825100872)</t>
  </si>
  <si>
    <t xml:space="preserve">הקצבות לשלוחה בבי"ס לב-טוב  (מ-2020 עבר לס.ת. 825100/870) </t>
  </si>
  <si>
    <t>רזרבה להפעלת בי"ס הדמוקרטי בשנה"ל תשפ"ב (9-12/2021)</t>
  </si>
  <si>
    <t>רזרבה להפעלת בי"ס בפארק בשנה"ל תשפ"ב (9-12/2021)</t>
  </si>
  <si>
    <t>השתתפות משרד התחבורה לפעולות בטיחות במערך החינוך (הוצאות בסעיף 817950/781)</t>
  </si>
  <si>
    <t>שינויים נומינאליים לעומת: אומדן ביצוע 2020, תקציב 2020 וביצוע 2019</t>
  </si>
  <si>
    <t>נכים בפנימיות-עולים (מ-2020 נכלל בסעיף 346501/930)</t>
  </si>
  <si>
    <t>התקציב הרגיל לשנת 2021 - דברי הסבר כלליים</t>
  </si>
  <si>
    <t>במסגרת הכנת התקציב נבדקו ההכנסות וההוצאות הרלוונטיות במהלך השנה השוטפת ונערך אומדן של ההכנסות וההוצאות כבסיס לתקצוב שנת 2021.</t>
  </si>
  <si>
    <t>במרץ 2020 פקד את העולם משבר בריאותי וכלכלי כתוצאה מהתפרצות וירוס הקורונה שהביא לפגיעה בהכנסותיהם של עסקים רבים.</t>
  </si>
  <si>
    <t xml:space="preserve">עפ"י הערכות משרד האוצר ובנק ישראל, מדד המחירים לצרכן בשנת 2021 צפוי לעלות בשיעור של כ- 0.7%. </t>
  </si>
  <si>
    <t>שיעור הצמיחה של המשק בשנת 2021, על פי תחזיות בנק ישראל, יעמוד בין 6.5% בתרחיש שליטה בהתפתחות התחלואה לבין 1% בתרחיש שליטה נמוכה בהתפתחות התחלואה.</t>
  </si>
  <si>
    <t>בתקציב 2021 מהוות ההכנסות העצמיות כ- 73.3% מכלל תקציב ההכנסות, אחוז גבוה המעיד על העצמאות הכלכלית של הרשות.</t>
  </si>
  <si>
    <t>על פי ההערכות, הגבייה מארנונה בשנת 2020 תעמוד ביעדי התקציב. 
עפ"י חוק ההסדרים במשק המדינה, שיעור העדכון בארנונה לשנת 2021  הינו  1.1%.</t>
  </si>
  <si>
    <t>קנסות מינהליים:</t>
  </si>
  <si>
    <t xml:space="preserve">תוקצבו קנסות בהתאם לצפי לגבייה על פי הטלת קנסות מנהליים עבור עבירות בניה בהתאם לתיקון 116 לחוק התכנון והבניה התשכ"ה 1965, תיקון 22 לחוק העבירות המנהליות- התשמ"ו 1985, ותקנות העבירות המנהליות (קנס מינהלי- תכנון ובנייה) התשע"ח- 2018.
</t>
  </si>
  <si>
    <t>הכנסות מניהול מערך השילוט ע"י העירייה הכולל פרסום מסחרי בקרקעות העירייה בכפוף לזיכיונות פרסום. בעקבות משבר הקורונה שפגע בענף הפרסום בכלל ובפרסום החוצות בפרט, צפויה ירידה בהכנסות.</t>
  </si>
  <si>
    <t>מערך החניונים מנוהל ע"י החברה לפיתוח הרצליה בע"מ. תיקצוב 2021 מבוסס על תחזית התמורה שתועבר לעירייה מפדיון הפעלת החניונים. החברה צופה שלאור משבר הקורונה והסגרים יהיה קיטון בפידיון ובמקביל קיטון בתמורה שתועבר לעירייה.</t>
  </si>
  <si>
    <t xml:space="preserve">הכנסות מזכיונות ושכירויות של נכסי העירייה: </t>
  </si>
  <si>
    <t>הכנסות מזכיונות ושכירויות של נכסי העירייה הכוללים:  חנויות, בתי אוכל, משרדים, מזנונים בבתי ספר, חכירות לטווח ארוך ושטחי התארגנות וכו'.</t>
  </si>
  <si>
    <t xml:space="preserve">הכנסות בגין חנייה בכחול לבן ברחבי העיר, כולל מגרשי החניה בסביבת הפארק ובסמוך לחוף הים. </t>
  </si>
  <si>
    <t>העברה מהעודף הנצבר לתקציב רגיל:</t>
  </si>
  <si>
    <t>סה"כ השתתפות משרדי הממשלה האחרים: המשרד לבטחון פנים, משרד הפנים, המשרד לאיכות הסביבה, משרד התרבות והספורט, משרד הקליטה, משרד המדע, משרד הבריאות, משרד התחבורה והרשות הממשלתית להתחדשות עירונית, מוערכת בכ- 6.1 מלש"ח בלבד.</t>
  </si>
  <si>
    <t>היקף תקציב העירייה הרגיל לשנת 2021 עומד ע"ס של כ- 1,030 מלש"ח.</t>
  </si>
  <si>
    <t>תקציב החינוך הינו התקציב העירוני הגדול ביותר, בהיקף של כ- 370 מלש"ח. מנגד, אומדן התקבולים בחינוך הינו כ- 210 מלש"ח. יוצא איפה כי ההשקעה העירונית נטו עומדת ע"ס של כ- 160 מלש"ח ומהווה שיעור של כ- 43% מסה"כ תקציב החינוך.</t>
  </si>
  <si>
    <t>העירייה מסבסדת בנושא הצהרונים כ - 4 מלש"ח.</t>
  </si>
  <si>
    <t>השתתפות משרד הרווחה המתחייבת הינה בשיעור של 75% מההוצאות לרווחה. חלק העירייה המתחייב הינו בשיעור של 25%.  חלק מפעולות הרווחה ממומן ע"י העירייה  מעבר למימון הממשלתי. תקציב 2021 מראה על כ- 122 מלש"ח הוצאות כנגד כ- 72 מלש"ח הכנסות, כלומר כ- 50 מלש"ח השתתפות עירייה נטו. 
יוצא איפה שסה"כ העירייה נושאת בשיעור של כ- 41% שהם 16% מעבר למתחייב בתקציב הרווחה (במקום לשאת בשיעור של 25%).</t>
  </si>
  <si>
    <t>בתקציב 2021 שוריין סכום של כ- 10 מלש"ח כרזרבה לרפורמות, התייקרויות והוצאות בלתי צפויות. סכום זה נובע מהנחיות חוק רשויות איתנות להקצות לפחות 1% מהיקף התקציב השנתי לרזרבה.</t>
  </si>
  <si>
    <t>השתתפות משרד החינוך לגננות בגני חובה (הוצאות בסעיף 812/760)</t>
  </si>
  <si>
    <t xml:space="preserve">תנו"ס </t>
  </si>
  <si>
    <t>על פי הנחיית משרד הפנים השיפוי בגין ההנחה שניתנה בארנונה נרשם בשנת 2020 תחת הכנסות ממשרדי ממשלה אחרים ולא תחת הכנסות עצמיות.</t>
  </si>
  <si>
    <t>בנוסף התקין שר הפנים תקנות נוספות למתן הנחות מסכום הארנונה לעסקים לתקופה שעד יוני 2021. בחינת הזכאות להנחה הינה על פי הקריטריונים, הקבועים בתקנות, ותבוצע ע"י הסוכנות לעסקים קטנים ובינוניים במשרד הכלכלה והתעשייה. ההנחה לזכאים תינתן אוטומטית וללא צורך בפנייה לרשות המקומית. הרשות תשופה ע"י משרד האוצר ב- 100% בגין הנחה זו.</t>
  </si>
  <si>
    <t>בשנת 2020 לפי הנחיית משרד הפנים, בנוסף להנחות שניתנות על פי דין נרשמו גם ה- 80 מיליון ₪ הנחות שניתנו כתוצאה ממשבר הקורונה בסעיף ייעודי.</t>
  </si>
  <si>
    <t>גם בשנה זו תימשך העמקת הגבייה והרחבת בסיס השומה, כלומר עדכוני שטחים, סיווגים ואכיפה.</t>
  </si>
  <si>
    <t>תוקצבה השתתפות הקרן לעבודות פיתוח בעלויות תכנון ובניין עיר בסך של כ- 15.5 מלש"ח, זאת על פי הנחיות משרד הפנים המאפשרות לממן את עלות הפעלת מינהל הנדסה מקרנות הפיתוח ובתוספת תקורה של עד 15%. בנוסף תוקצבה משיכה בגין מימון פרע"מ לפיתוח בסך של כ- 8 מיליון ₪.</t>
  </si>
  <si>
    <t>השכר בשנת 2021 קודם לעומת אומדני ביצוע 2020 בשיעור של 2.3%, עקב זחילת שכר בגין קידום עובדים בוותק ובדרגות ועקב תוספות שונות שניתנו לעובדי המגזר הציבורי, בעקבות הסכמים קיבוציים שנחתמו בין ההסתדרות לבין המדינה ומרכז שלטון מקומי בחודש 4/2016. נכון למועד הפצת ספר התקציב טרם נחתם הסכם שכר חדש.</t>
  </si>
  <si>
    <t>ההוצאות לפעולות עודכנו על פי תחזיות של עלויות צפויות כגון: עדכוני מדד והתיקרויות בהתאם לחוזים עליהם חתמה העירייה ובהתאם לתוכנית העבודה של הרשות.</t>
  </si>
  <si>
    <t>תקציב החינוך לשנת 2021 כולל בתוכו גם עלויות בגין פתיחת 34 גני ילדים חדשים, בי"ס בפארק ובי"ס דמוקרטי, שצפויים להיפתח בספטמבר 2021.</t>
  </si>
  <si>
    <t>תיקצוב 2021 מבוסס על תחזית הפרעון של מצבת המלוות.</t>
  </si>
  <si>
    <t>סה"כ - תשלומים:</t>
  </si>
  <si>
    <t>סה"כ  - הוצאות מימון:</t>
  </si>
  <si>
    <t>סה"כ - מינהלת אגף החינוך:</t>
  </si>
  <si>
    <t xml:space="preserve">הערכה, מידע ובקרה  </t>
  </si>
  <si>
    <t>בתי ספר תיכוניים - עירוניים (הראשונים, היובל, החדש)</t>
  </si>
  <si>
    <t>סה"כ - בתי"ס תיכוניים - עירוניים (הראשונים, היובל, החדש):</t>
  </si>
  <si>
    <t>סה"כ - איצטדיון עירוני ומגרשי אימונים:</t>
  </si>
  <si>
    <t>סה"כ - אולמות ספורט בתיכונים: היובל, הראשונים והחדש:</t>
  </si>
  <si>
    <t>אצטדיון אתלטיקה גורדון, מגרש האשל ומגרש קרסני</t>
  </si>
  <si>
    <t>סה"כ - אצטדיון אתלטיקה גורדון, מגרש האשל ומגרש קרסני:</t>
  </si>
  <si>
    <t>סה"כ - בני הרצליה - פעילויות ספורט:</t>
  </si>
  <si>
    <t>קליטה בחינוך</t>
  </si>
  <si>
    <t>סה"כ - מינהלת אגף תחזוקה, בטיחות ולוגיסטיקה:</t>
  </si>
  <si>
    <t>סה"כ נכסים, תחזוקה, לוגיסטיקה ומחסנים:</t>
  </si>
  <si>
    <t xml:space="preserve">הוצאות מיוחדות ובלתי צפויות </t>
  </si>
  <si>
    <t>סה"כ - הוצאות מיוחדות ובלתי צפויות:</t>
  </si>
  <si>
    <t>שכר תוכנית העסקת עוזרי חינוך בבי"ס יסודיים (במקביל בהכנסות בסעיף 3132/926)</t>
  </si>
  <si>
    <t>הוצאות תוכנית העסקת עוזרי חינוך בבתי ספר יסודיים - קורונה (במקביל בהכנסות בסעיף 3132/926)</t>
  </si>
  <si>
    <t>תוכנית העסקת עוזרי חינוך בבתי הספר היסודיים בגין הקורונה (במקביל בהוצאות בסעיף 8132/110, 8132/781)</t>
  </si>
  <si>
    <t>משכורות כוללות - סייעות רפואיות בצהרוני גנ"י (בהכנסות בסעיף 31792/490)</t>
  </si>
  <si>
    <t>משכורות כוללות - סייעות צמודות לילדי חינוך מיוחד בצהרוני גנ"י (בהכנסות בסעיף 31792/491)</t>
  </si>
  <si>
    <t>השתתפות החברה למרכזים קהילתיים בעלות סייעות רפואיות בצהרונים (33%) (הוצאות בסעיף 31792/490)</t>
  </si>
  <si>
    <t>השתתפות החברה למרכזים קהילתיים בעלות סייעות צמודות לילדי ח"מ בצהרונים (33%) (הוצאות בסעיף 31792/491)</t>
  </si>
  <si>
    <t>מימון משרד החינוך לרכישת ציוד היגיינה ותגבור שרותי ניקיון בגין הקורונה לכלל מוס"ח (במקביל בסעיפי ניקיון ובסעיף 81796/785)</t>
  </si>
  <si>
    <t xml:space="preserve"> רכישת ציוד היגיינה בגין קורונה (במקביל בהכנסות בסעיף 31796/920)</t>
  </si>
  <si>
    <t>הכנסות מפעל הפיס למשפחות במצוקה (במקביל בהוצאות בסעיף 842202/980)</t>
  </si>
  <si>
    <t>סיוע למשפחות במימון מפעל הפיס (במקביל בהכנסות בסעיף 342202/740)</t>
  </si>
  <si>
    <t>מימון ג'וינט-אשל - תוכנית טיפול בזקן (במקביל בהוצאות בסעיף 844403/100)</t>
  </si>
  <si>
    <t>שכר תוכנית ג'וינט (במקביל בהכנסות בסעיף 344403/793)</t>
  </si>
  <si>
    <t>הכנסות מפעל הפיס לסיוע לקשישים (במקביל בסעיף 844403/980)</t>
  </si>
  <si>
    <t>סיוע לקשישים במימון מפעל הפיס (במקביל בהכנסות בסעיף 344403/740)</t>
  </si>
  <si>
    <t>פרוייקטים שונים במימון משרד החינוך (במקביל בהכנסות סעיף 3136/921)</t>
  </si>
  <si>
    <t>פעולות בטיחות במערך החינוך (הכנסות בסעיף 31795/991, משנת 2021 פוצל לסעיף 744/780)</t>
  </si>
  <si>
    <t>נקיון בקבלנות (כולל מועדון נוער עולה בסיכון) (ב- 2021 עבר מ- 811/751)</t>
  </si>
  <si>
    <t>נקיון בקבלנות (ב- 2021 עבר מסעיף 811/751)</t>
  </si>
  <si>
    <t>נקיון בקבלנות (ב- 2021 עבר לסעיף 81797/750 (38) ולסעיף 8325/750 (20))</t>
  </si>
  <si>
    <t xml:space="preserve">החזר בגין פינוי פסולת אריזות -תמי"ר (כולל דמ"ש בפחים כתומים) (הוצאות בסעיף 7121/752) </t>
  </si>
  <si>
    <t>פינוי פסולת אריזות (כולל דמ"ש) - חב' ת.מ.י.ר (הכנסות בסעיף 2121/220)</t>
  </si>
  <si>
    <t xml:space="preserve">עבודות קבלניות למדידות והריסת מבנים </t>
  </si>
  <si>
    <t>תשלום לרשות אחרת להעסקת סייעת טיפולית</t>
  </si>
  <si>
    <t>משפחות במצוקה בקהילה - השלמה עירונית (בשנת 2021 כולל סעיף 842204/841)</t>
  </si>
  <si>
    <t>סיוע למשפחות עם ילדים - השלמה עירונית (משנת 2021 נכלל בסעיף 842202/841)</t>
  </si>
  <si>
    <t>רזרבה ליוזמות ופרוייקטים פדגוגיים (תשפ"ב)</t>
  </si>
  <si>
    <t>נספח תקן כח - אדם לשנת: 2021</t>
  </si>
  <si>
    <t>שירות, ארגון ומינהל</t>
  </si>
  <si>
    <t>השתתפות קע"פ בעלויות ייעוץ משפטי חיצוני (במקביל בהוצאות בסעיף 732/750)</t>
  </si>
  <si>
    <t>6-19</t>
  </si>
  <si>
    <t>21</t>
  </si>
  <si>
    <t>22-23</t>
  </si>
  <si>
    <t>24-28</t>
  </si>
  <si>
    <t>32-34</t>
  </si>
  <si>
    <t>35-50</t>
  </si>
  <si>
    <t>35-39</t>
  </si>
  <si>
    <t>40-41</t>
  </si>
  <si>
    <t>42-49</t>
  </si>
  <si>
    <t>53-64</t>
  </si>
  <si>
    <t>53-60</t>
  </si>
  <si>
    <t>61-62</t>
  </si>
  <si>
    <t>63-64</t>
  </si>
  <si>
    <t>65-68</t>
  </si>
  <si>
    <t>72-73</t>
  </si>
  <si>
    <t>74-77</t>
  </si>
  <si>
    <t>79-82</t>
  </si>
  <si>
    <t>85-138</t>
  </si>
  <si>
    <t>123-124</t>
  </si>
  <si>
    <t>124-135</t>
  </si>
  <si>
    <t>139-146</t>
  </si>
  <si>
    <t>139-142</t>
  </si>
  <si>
    <t>145-146</t>
  </si>
  <si>
    <t>147-148</t>
  </si>
  <si>
    <t>149-159</t>
  </si>
  <si>
    <t>נכסים:</t>
  </si>
  <si>
    <t>65-84</t>
  </si>
  <si>
    <t>78-79</t>
  </si>
  <si>
    <t>85-104</t>
  </si>
  <si>
    <t>105-122</t>
  </si>
  <si>
    <t>תרבות וספורט, פנים, קליטה, תחבורה, איכות הסביבה, בטחון פנים, בריאות, רשות ממשלתית להתחדשות עירונית ומדע.</t>
  </si>
  <si>
    <t>השתתפות משרד התרבות והספורט בארגון טריאתלון נשים בינלאומי</t>
  </si>
  <si>
    <t>ב- 21 באפריל 2020 תוקנו תקנות ההסדרים במשק המדינה (הנחות  מארנונה) (תיקון מס' 2) התש"ף - 2020. על פי התקנות, מחזיק בנכס, כהגדרתו בתקנות, זכאי להנחה בשיעור של 100% מסכום הארנונה הכללית שהוטלה על הנכס לתקופה שמיום 1/3/2020 ועד ליום 31/5/2020. עיריית הרצליה, שהינה רשות איתנה כהגדרתה בחוק, נתנה הנחות בגובה של כ - 80 מיליון ₪, וקיבלה שיפוי בשיעור של כ- 92% מתוצאת נוסחת המודל שיפוי, 
בסך של כ- 74 מיליון ש"ח.</t>
  </si>
  <si>
    <t>השפעת המשבר ניכרת בהכנסות תחת תקציב 2020, אומדן 2020 והצעת התקציב 2021.</t>
  </si>
  <si>
    <t>תקציב 2021 גובש ע"י הנהלת העירייה והמנהל הכספי ביחד עם יחידות העירייה ובהתייחס לתוכניות עבודה מפורטות שהוגשו ע"י היחידות.</t>
  </si>
  <si>
    <t>טבלת התמיכות וההקצבות המפורטת בספר התקציב לשנת 2021  מחולקת ל- 4 סעיפי משנה כמפורט להלן:</t>
  </si>
  <si>
    <t>מימון פרע"מ ביוב מדיבידנד:</t>
  </si>
  <si>
    <t xml:space="preserve">תקציב ההכנסות מאגרות רשיונות בניה לשנת 2021 יעמוד על 10.5 מלש"ח. התקציב מסתמך על צפי קבלת היתרי בנייה תוך שמירה על תקציב שמרני עקב אי הוודאות הקיים במשק בעקבות משבר הקורונה, וכן אי ודאות למועד חיבור הרצליה לשפד"ן. </t>
  </si>
  <si>
    <t>למרות העברת פעילויות המים והביוב לידי תאגיד מי הרצליה בע"מ, העירייה ממשיכה לשאת בעלויות פרעון מלוות הביוב, וזאת על פי חוק תאגידי המים והביוב. גם בשנת 2021 מימון פרעון מלוות אלו ייעשה מיתרות שנותרו בגין דיבידנד שהתקבל בשנים קודמות מתאגיד המים חברת "מי הרצליה" בע"מ.</t>
  </si>
  <si>
    <t>בשנת 2021 תוקצבו 7.6 מיליון ₪ מהעודף הנצבר לטובת התקציב הרגיל וזאת לאור הירידה בהכנסות כתוצאה ממשבר הקורונה.</t>
  </si>
  <si>
    <t>תקציב הרווחה המתחייב מול משרד הרווחה מכוסה באופן כללי ע"י משרד הרווחה בשיעור של  75%.  הגידול בהכנסות ממשרד הרווחה מצביע על גידול בהוצאות הממומן חלקית ע"י המשרד.</t>
  </si>
  <si>
    <t>השפעת משבר הקורונה ניכרת בהוצאות תחת תקציב 2020 - שעודכן והוקטן בעקבות הקורונה, אומדן 2020 - שמשקף את הפעילות העירונית תחת הקורונה והסגרים, ותקציב 2021 -שמניח חזרה לפעילות סדורה ככל שניתן.</t>
  </si>
  <si>
    <t xml:space="preserve">לאור משבר הקורונה והמעבר ללמידה בקפסולות תקציב החינוך כולל בתוכו תקצוב קפסולות לכיתות ה-ו הפרושות במרחבי למידה  בכל העיר בעלות של כ- 1.6 מיליון ₪ ועוזרי הוראה בכיתות ג-ד שממומנים ע"י משרד החינוך וזאת עד ל- 30.6.2021.  </t>
  </si>
  <si>
    <t>למרות העברת פעילויות המים והביוב לידי התאגיד העירוני, העירייה ממשיכה לשאת בעלויות פרעון מלוות הביוב, וזאת על פי חוק תאגידי המים והביוב. בשנת 2021 מימון פרעון מלוות אלו ייעשה מיתרות שנותרו בגין מדיבידנד שהתקבל בשנים קודמות מתאגיד המים חברת "מי הרצליה" בע"מ.</t>
  </si>
  <si>
    <t>תקציב תרבות, נוער וספורט תוקצב לשנת 2021 בסך של כ- 79 מלש"ח. גם בשנת 2021 בכוונת העירייה להמשיך בפעילויות התרבות, הספורט והנוער השונות להנאת תושבי הרצליה ככל שיתאפשר לאור מגבלות הקורונה.</t>
  </si>
  <si>
    <t>שאיפ"ה (שיפור, איכות ופיתוח העיר)</t>
  </si>
  <si>
    <t>מינהל הנדסה</t>
  </si>
  <si>
    <t>תב"ל (תחזוקה, בטיחות ולוגיסטיקה)</t>
  </si>
  <si>
    <t>רשות החופים</t>
  </si>
  <si>
    <t>תנו"ס (תרבות, נוער וספורט)</t>
  </si>
  <si>
    <t>בטחון, פיקוח וסד"צ</t>
  </si>
  <si>
    <t>תקשוב ומערכות מידע</t>
  </si>
  <si>
    <t>דוברות וארועים</t>
  </si>
  <si>
    <t>כיתות ספורט הנגיד (באמצעות בני-הרצליה)</t>
  </si>
  <si>
    <t>כיתות ספורט בן גוריון (באמצעות בני-הרצליה)</t>
  </si>
  <si>
    <t>כלכלה, שתיה ואמצעי מיגון (משחות)</t>
  </si>
  <si>
    <r>
      <t>שאיפ"ה (שיפור, איכות ופיתוח העיר)</t>
    </r>
    <r>
      <rPr>
        <u/>
        <sz val="11"/>
        <rFont val="David"/>
        <family val="2"/>
        <charset val="177"/>
      </rPr>
      <t>:</t>
    </r>
  </si>
  <si>
    <t>מינהל הנדסה:</t>
  </si>
  <si>
    <t>תב"ל (תחזוקה, בטיחות ולוגיסטיקה):</t>
  </si>
  <si>
    <t>רשות החופים:</t>
  </si>
  <si>
    <t>כללי, הקצבות, פנסיה (להוציא חינוך ורווחה) ושונות:</t>
  </si>
  <si>
    <t>בטחון, פיקוח וסד"צ:</t>
  </si>
  <si>
    <t>תקשוב ומערכות מידע:</t>
  </si>
  <si>
    <t>הקצבה לתאגיד התרבות עבור העדלאידע</t>
  </si>
  <si>
    <t xml:space="preserve">הקצבה לתאגיד התרבות עבור העדלאידע </t>
  </si>
  <si>
    <t xml:space="preserve">הקצבה לתאגיד התרבות להפעלת המרכז העירוני לתיאטרון </t>
  </si>
  <si>
    <t>תמיכה באגודות בתחום ספורט תחרותי - בוגרים (ב- 2021 כדורסל נשים עבר לסעיף 82991/873 וטניס שולחן עבר לסעיף 82991/876)</t>
  </si>
  <si>
    <t>הקצבה לתאגיד התרבות להפעלת המרכז העירוני לתיאטרון</t>
  </si>
  <si>
    <t>תתמיכה באגודות בתחום ספורט תחרותי - בוגרים (ב- 2021 כדורסל נשים עבר לסעיף 82991/873 וטניס שולחן עבר לסעיף 82991/876)</t>
  </si>
  <si>
    <t xml:space="preserve">מינהל נשים 7691; בית המשפט העירוני 782; פעולות בטיחות במערך החינוך 81795/781; מחלקת התנדבות 8483; </t>
  </si>
  <si>
    <t xml:space="preserve">השתתפות בשכ"ל - גמול ב' </t>
  </si>
  <si>
    <t>פינוי, הובלה והטמנת אשפה</t>
  </si>
  <si>
    <t>התמכרויות מבוגרים - צד ג'</t>
  </si>
  <si>
    <t>אחזקת לחצני מצוקה במוסדות עירייה ונכסים עירוניים</t>
  </si>
  <si>
    <t>בדיקות סמים - יחידת התמכרויות - השלמה עירונית</t>
  </si>
  <si>
    <t>עזרה לקשישים בקהילה - עירוני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</si>
</sst>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_);\(#,##0.0\)"/>
    <numFmt numFmtId="166" formatCode="0_)"/>
    <numFmt numFmtId="167" formatCode="#,##0.0"/>
    <numFmt numFmtId="168" formatCode="0.0%"/>
    <numFmt numFmtId="169" formatCode="0.000%"/>
    <numFmt numFmtId="170" formatCode="_-* #,##0_-;\-* #,##0_-;_-* &quot;-&quot;??_-;_-@_-"/>
    <numFmt numFmtId="171" formatCode="#,##0.00_);\(#,##0.00\)"/>
    <numFmt numFmtId="172" formatCode="0.000"/>
    <numFmt numFmtId="174" formatCode="#,##0_);\(#,##0\)"/>
  </numFmts>
  <fonts count="103">
    <font>
      <sz val="11"/>
      <name val="Arial"/>
      <charset val="177"/>
    </font>
    <font>
      <sz val="11"/>
      <name val="Arial"/>
      <family val="2"/>
    </font>
    <font>
      <sz val="10"/>
      <color indexed="8"/>
      <name val="David"/>
      <family val="2"/>
      <charset val="177"/>
    </font>
    <font>
      <sz val="8"/>
      <color indexed="8"/>
      <name val="David"/>
      <family val="2"/>
      <charset val="177"/>
    </font>
    <font>
      <b/>
      <sz val="10"/>
      <color indexed="8"/>
      <name val="David"/>
      <family val="2"/>
      <charset val="177"/>
    </font>
    <font>
      <b/>
      <sz val="11"/>
      <color indexed="8"/>
      <name val="David"/>
      <family val="2"/>
      <charset val="177"/>
    </font>
    <font>
      <b/>
      <u/>
      <sz val="11"/>
      <color indexed="8"/>
      <name val="David"/>
      <family val="2"/>
      <charset val="177"/>
    </font>
    <font>
      <b/>
      <sz val="12"/>
      <color indexed="8"/>
      <name val="David"/>
      <family val="2"/>
      <charset val="177"/>
    </font>
    <font>
      <sz val="11"/>
      <name val="David"/>
      <family val="2"/>
      <charset val="177"/>
    </font>
    <font>
      <sz val="10"/>
      <name val="David"/>
      <family val="2"/>
      <charset val="177"/>
    </font>
    <font>
      <b/>
      <u val="double"/>
      <sz val="16"/>
      <name val="David"/>
      <family val="2"/>
      <charset val="177"/>
    </font>
    <font>
      <b/>
      <u/>
      <sz val="16"/>
      <name val="David"/>
      <family val="2"/>
      <charset val="177"/>
    </font>
    <font>
      <sz val="8"/>
      <name val="Arial"/>
      <family val="2"/>
    </font>
    <font>
      <u/>
      <sz val="8"/>
      <name val="David"/>
      <family val="2"/>
      <charset val="177"/>
    </font>
    <font>
      <sz val="12"/>
      <name val="Arial"/>
      <family val="2"/>
      <charset val="177"/>
    </font>
    <font>
      <u/>
      <sz val="8"/>
      <color indexed="8"/>
      <name val="David"/>
      <family val="2"/>
      <charset val="177"/>
    </font>
    <font>
      <u/>
      <sz val="20"/>
      <name val="MF Graffiti"/>
      <charset val="177"/>
    </font>
    <font>
      <b/>
      <sz val="9"/>
      <color indexed="8"/>
      <name val="David"/>
      <family val="2"/>
      <charset val="177"/>
    </font>
    <font>
      <b/>
      <u/>
      <sz val="10"/>
      <name val="David"/>
      <family val="2"/>
      <charset val="177"/>
    </font>
    <font>
      <b/>
      <sz val="10"/>
      <name val="David"/>
      <family val="2"/>
      <charset val="177"/>
    </font>
    <font>
      <sz val="9"/>
      <name val="David"/>
      <family val="2"/>
      <charset val="177"/>
    </font>
    <font>
      <b/>
      <sz val="9"/>
      <name val="David"/>
      <family val="2"/>
      <charset val="177"/>
    </font>
    <font>
      <b/>
      <u/>
      <sz val="9"/>
      <name val="David"/>
      <family val="2"/>
      <charset val="177"/>
    </font>
    <font>
      <b/>
      <sz val="14"/>
      <name val="David"/>
      <family val="2"/>
      <charset val="177"/>
    </font>
    <font>
      <sz val="8"/>
      <name val="David"/>
      <family val="2"/>
      <charset val="177"/>
    </font>
    <font>
      <b/>
      <u/>
      <sz val="11"/>
      <name val="David"/>
      <family val="2"/>
      <charset val="177"/>
    </font>
    <font>
      <b/>
      <u val="double"/>
      <sz val="9"/>
      <name val="David"/>
      <family val="2"/>
      <charset val="177"/>
    </font>
    <font>
      <b/>
      <u val="double"/>
      <sz val="10"/>
      <name val="David"/>
      <family val="2"/>
      <charset val="177"/>
    </font>
    <font>
      <u val="double"/>
      <sz val="11"/>
      <name val="David"/>
      <family val="2"/>
      <charset val="177"/>
    </font>
    <font>
      <b/>
      <sz val="11"/>
      <name val="David"/>
      <family val="2"/>
      <charset val="177"/>
    </font>
    <font>
      <b/>
      <u val="double"/>
      <sz val="12"/>
      <name val="David"/>
      <family val="2"/>
      <charset val="177"/>
    </font>
    <font>
      <u/>
      <sz val="11"/>
      <name val="David"/>
      <family val="2"/>
      <charset val="177"/>
    </font>
    <font>
      <b/>
      <u val="double"/>
      <sz val="14"/>
      <name val="David"/>
      <family val="2"/>
      <charset val="177"/>
    </font>
    <font>
      <b/>
      <sz val="12"/>
      <name val="David"/>
      <family val="2"/>
      <charset val="177"/>
    </font>
    <font>
      <i/>
      <sz val="9"/>
      <name val="David"/>
      <family val="2"/>
      <charset val="177"/>
    </font>
    <font>
      <b/>
      <sz val="16"/>
      <name val="David"/>
      <family val="2"/>
      <charset val="177"/>
    </font>
    <font>
      <u/>
      <sz val="9"/>
      <name val="David"/>
      <family val="2"/>
      <charset val="177"/>
    </font>
    <font>
      <sz val="12"/>
      <name val="David"/>
      <family val="2"/>
      <charset val="177"/>
    </font>
    <font>
      <sz val="7"/>
      <name val="David"/>
      <family val="2"/>
      <charset val="177"/>
    </font>
    <font>
      <u/>
      <sz val="10"/>
      <name val="David"/>
      <family val="2"/>
      <charset val="177"/>
    </font>
    <font>
      <b/>
      <u/>
      <sz val="12"/>
      <name val="David"/>
      <family val="2"/>
      <charset val="177"/>
    </font>
    <font>
      <b/>
      <u/>
      <sz val="14"/>
      <name val="David"/>
      <family val="2"/>
      <charset val="177"/>
    </font>
    <font>
      <u/>
      <sz val="7"/>
      <name val="David"/>
      <family val="2"/>
      <charset val="177"/>
    </font>
    <font>
      <sz val="14"/>
      <name val="David"/>
      <family val="2"/>
      <charset val="177"/>
    </font>
    <font>
      <b/>
      <u val="double"/>
      <sz val="15"/>
      <name val="David"/>
      <family val="2"/>
      <charset val="177"/>
    </font>
    <font>
      <b/>
      <u/>
      <sz val="12"/>
      <color indexed="8"/>
      <name val="David"/>
      <family val="2"/>
      <charset val="177"/>
    </font>
    <font>
      <b/>
      <u val="double"/>
      <sz val="11"/>
      <name val="David"/>
      <family val="2"/>
      <charset val="177"/>
    </font>
    <font>
      <b/>
      <sz val="8"/>
      <name val="David"/>
      <family val="2"/>
      <charset val="177"/>
    </font>
    <font>
      <sz val="11"/>
      <color indexed="9"/>
      <name val="David"/>
      <family val="2"/>
      <charset val="177"/>
    </font>
    <font>
      <u/>
      <sz val="11"/>
      <color indexed="10"/>
      <name val="David"/>
      <family val="2"/>
      <charset val="177"/>
    </font>
    <font>
      <sz val="8"/>
      <name val="Arial"/>
      <family val="2"/>
    </font>
    <font>
      <b/>
      <sz val="8"/>
      <name val="David"/>
      <family val="2"/>
    </font>
    <font>
      <b/>
      <sz val="9"/>
      <name val="David"/>
      <family val="2"/>
    </font>
    <font>
      <b/>
      <sz val="11"/>
      <name val="David"/>
      <family val="2"/>
    </font>
    <font>
      <b/>
      <sz val="10"/>
      <name val="David"/>
      <family val="2"/>
    </font>
    <font>
      <sz val="11"/>
      <name val="David"/>
      <family val="2"/>
    </font>
    <font>
      <sz val="9"/>
      <name val="David"/>
      <family val="2"/>
    </font>
    <font>
      <sz val="10"/>
      <name val="David"/>
      <family val="2"/>
    </font>
    <font>
      <sz val="8"/>
      <name val="David"/>
      <family val="2"/>
    </font>
    <font>
      <b/>
      <u/>
      <sz val="11"/>
      <name val="David"/>
      <family val="2"/>
    </font>
    <font>
      <b/>
      <u/>
      <sz val="8"/>
      <name val="David"/>
      <family val="2"/>
    </font>
    <font>
      <sz val="6"/>
      <name val="David"/>
      <family val="2"/>
    </font>
    <font>
      <b/>
      <sz val="6"/>
      <name val="David"/>
      <family val="2"/>
    </font>
    <font>
      <sz val="7"/>
      <name val="David"/>
      <family val="2"/>
    </font>
    <font>
      <b/>
      <u/>
      <sz val="10"/>
      <name val="David"/>
      <family val="2"/>
    </font>
    <font>
      <u/>
      <sz val="11"/>
      <name val="David"/>
      <family val="2"/>
    </font>
    <font>
      <u/>
      <sz val="8"/>
      <name val="David"/>
      <family val="2"/>
    </font>
    <font>
      <u val="double"/>
      <sz val="11"/>
      <name val="David"/>
      <family val="2"/>
    </font>
    <font>
      <u val="double"/>
      <sz val="8"/>
      <name val="David"/>
      <family val="2"/>
    </font>
    <font>
      <sz val="9"/>
      <name val="Arial"/>
      <family val="2"/>
    </font>
    <font>
      <sz val="11"/>
      <color theme="1"/>
      <name val="Arial"/>
      <family val="2"/>
      <charset val="177"/>
      <scheme val="minor"/>
    </font>
    <font>
      <sz val="11"/>
      <color theme="0"/>
      <name val="Arial"/>
      <family val="2"/>
      <charset val="177"/>
      <scheme val="minor"/>
    </font>
    <font>
      <b/>
      <sz val="11"/>
      <color rgb="FFFA7D00"/>
      <name val="Arial"/>
      <family val="2"/>
      <charset val="177"/>
      <scheme val="minor"/>
    </font>
    <font>
      <sz val="11"/>
      <color rgb="FF006100"/>
      <name val="Arial"/>
      <family val="2"/>
      <charset val="177"/>
      <scheme val="minor"/>
    </font>
    <font>
      <sz val="11"/>
      <color rgb="FFFF0000"/>
      <name val="Arial"/>
      <family val="2"/>
      <charset val="177"/>
      <scheme val="minor"/>
    </font>
    <font>
      <i/>
      <sz val="11"/>
      <color rgb="FF7F7F7F"/>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theme="1"/>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theme="0"/>
      <name val="Arial"/>
      <family val="2"/>
      <charset val="177"/>
      <scheme val="minor"/>
    </font>
    <font>
      <sz val="11"/>
      <color rgb="FFFA7D00"/>
      <name val="Arial"/>
      <family val="2"/>
      <charset val="177"/>
      <scheme val="minor"/>
    </font>
    <font>
      <sz val="8"/>
      <color theme="1"/>
      <name val="David"/>
      <family val="2"/>
      <charset val="177"/>
    </font>
    <font>
      <sz val="9"/>
      <color theme="1"/>
      <name val="David"/>
      <family val="2"/>
      <charset val="177"/>
    </font>
    <font>
      <sz val="6"/>
      <color theme="1"/>
      <name val="David"/>
      <family val="2"/>
      <charset val="177"/>
    </font>
    <font>
      <sz val="11"/>
      <color theme="1"/>
      <name val="David"/>
      <family val="2"/>
      <charset val="177"/>
    </font>
    <font>
      <sz val="10"/>
      <color theme="1"/>
      <name val="David"/>
      <family val="2"/>
      <charset val="177"/>
    </font>
    <font>
      <b/>
      <sz val="10"/>
      <color theme="1"/>
      <name val="David"/>
      <family val="2"/>
      <charset val="177"/>
    </font>
    <font>
      <b/>
      <u/>
      <sz val="12"/>
      <color theme="1"/>
      <name val="David"/>
      <family val="2"/>
      <charset val="177"/>
    </font>
    <font>
      <b/>
      <u/>
      <sz val="10"/>
      <color theme="1"/>
      <name val="David"/>
      <family val="2"/>
      <charset val="177"/>
    </font>
    <font>
      <b/>
      <u/>
      <sz val="11"/>
      <color theme="1"/>
      <name val="David"/>
      <family val="2"/>
      <charset val="177"/>
    </font>
    <font>
      <b/>
      <sz val="12"/>
      <color theme="1"/>
      <name val="David"/>
      <family val="2"/>
      <charset val="177"/>
    </font>
    <font>
      <b/>
      <sz val="11"/>
      <color theme="1"/>
      <name val="David"/>
      <family val="2"/>
      <charset val="177"/>
    </font>
    <font>
      <sz val="7"/>
      <color theme="1"/>
      <name val="David"/>
      <family val="2"/>
      <charset val="177"/>
    </font>
    <font>
      <b/>
      <u val="double"/>
      <sz val="36"/>
      <color rgb="FFFF0000"/>
      <name val="David"/>
      <family val="2"/>
      <charset val="177"/>
    </font>
    <font>
      <u/>
      <sz val="10"/>
      <color rgb="FF000000"/>
      <name val="Arial"/>
      <family val="2"/>
    </font>
    <font>
      <sz val="14"/>
      <color rgb="FF222222"/>
      <name val="Arial"/>
      <family val="2"/>
    </font>
    <font>
      <b/>
      <sz val="28"/>
      <color rgb="FFFF0000"/>
      <name val="David"/>
      <family val="2"/>
      <charset val="177"/>
    </font>
  </fonts>
  <fills count="51">
    <fill>
      <patternFill patternType="none"/>
    </fill>
    <fill>
      <patternFill patternType="gray125"/>
    </fill>
    <fill>
      <patternFill patternType="solid">
        <fgColor indexed="65"/>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gray0625">
        <bgColor theme="0"/>
      </patternFill>
    </fill>
    <fill>
      <patternFill patternType="solid">
        <fgColor theme="6"/>
        <bgColor indexed="64"/>
      </patternFill>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169">
    <border>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top/>
      <bottom style="double">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top style="medium">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6">
    <xf numFmtId="0" fontId="0" fillId="0" borderId="0"/>
    <xf numFmtId="0" fontId="70" fillId="4"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2" borderId="0" applyNumberFormat="0" applyBorder="0" applyAlignment="0" applyProtection="0"/>
    <xf numFmtId="0" fontId="70" fillId="13"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5"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164" fontId="1" fillId="0" borderId="0" applyFont="0" applyFill="0" applyBorder="0" applyAlignment="0" applyProtection="0"/>
    <xf numFmtId="0" fontId="70" fillId="0" borderId="0"/>
    <xf numFmtId="0" fontId="1" fillId="0" borderId="0"/>
    <xf numFmtId="9" fontId="1" fillId="0" borderId="0" applyFont="0" applyFill="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0" fillId="28" borderId="160" applyNumberFormat="0" applyFont="0" applyAlignment="0" applyProtection="0"/>
    <xf numFmtId="0" fontId="70" fillId="28" borderId="160" applyNumberFormat="0" applyFont="0" applyAlignment="0" applyProtection="0"/>
    <xf numFmtId="0" fontId="72" fillId="29" borderId="161" applyNumberFormat="0" applyAlignment="0" applyProtection="0"/>
    <xf numFmtId="0" fontId="72" fillId="29" borderId="161" applyNumberFormat="0" applyAlignment="0" applyProtection="0"/>
    <xf numFmtId="0" fontId="73" fillId="30" borderId="0" applyNumberFormat="0" applyBorder="0" applyAlignment="0" applyProtection="0"/>
    <xf numFmtId="0" fontId="73" fillId="30" borderId="0" applyNumberFormat="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162" applyNumberFormat="0" applyFill="0" applyAlignment="0" applyProtection="0"/>
    <xf numFmtId="0" fontId="77" fillId="0" borderId="162" applyNumberFormat="0" applyFill="0" applyAlignment="0" applyProtection="0"/>
    <xf numFmtId="0" fontId="78" fillId="0" borderId="163" applyNumberFormat="0" applyFill="0" applyAlignment="0" applyProtection="0"/>
    <xf numFmtId="0" fontId="78" fillId="0" borderId="163" applyNumberFormat="0" applyFill="0" applyAlignment="0" applyProtection="0"/>
    <xf numFmtId="0" fontId="79" fillId="0" borderId="164" applyNumberFormat="0" applyFill="0" applyAlignment="0" applyProtection="0"/>
    <xf numFmtId="0" fontId="79" fillId="0" borderId="164"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1" fillId="0" borderId="165" applyNumberFormat="0" applyFill="0" applyAlignment="0" applyProtection="0"/>
    <xf numFmtId="0" fontId="81" fillId="0" borderId="165" applyNumberFormat="0" applyFill="0" applyAlignment="0" applyProtection="0"/>
    <xf numFmtId="0" fontId="82" fillId="29" borderId="166" applyNumberFormat="0" applyAlignment="0" applyProtection="0"/>
    <xf numFmtId="0" fontId="82" fillId="29" borderId="166" applyNumberFormat="0" applyAlignment="0" applyProtection="0"/>
    <xf numFmtId="0" fontId="83" fillId="32" borderId="161" applyNumberFormat="0" applyAlignment="0" applyProtection="0"/>
    <xf numFmtId="0" fontId="83" fillId="32" borderId="161" applyNumberFormat="0" applyAlignment="0" applyProtection="0"/>
    <xf numFmtId="0" fontId="84" fillId="33" borderId="0" applyNumberFormat="0" applyBorder="0" applyAlignment="0" applyProtection="0"/>
    <xf numFmtId="0" fontId="84" fillId="33" borderId="0" applyNumberFormat="0" applyBorder="0" applyAlignment="0" applyProtection="0"/>
    <xf numFmtId="0" fontId="85" fillId="34" borderId="167" applyNumberFormat="0" applyAlignment="0" applyProtection="0"/>
    <xf numFmtId="0" fontId="85" fillId="34" borderId="167" applyNumberFormat="0" applyAlignment="0" applyProtection="0"/>
    <xf numFmtId="0" fontId="86" fillId="0" borderId="168" applyNumberFormat="0" applyFill="0" applyAlignment="0" applyProtection="0"/>
    <xf numFmtId="0" fontId="86" fillId="0" borderId="168" applyNumberFormat="0" applyFill="0" applyAlignment="0" applyProtection="0"/>
  </cellStyleXfs>
  <cellXfs count="1155">
    <xf numFmtId="0" fontId="0" fillId="0" borderId="0" xfId="0"/>
    <xf numFmtId="0" fontId="8" fillId="0" borderId="0" xfId="0" applyFont="1"/>
    <xf numFmtId="0" fontId="8" fillId="0" borderId="0" xfId="0" applyFont="1" applyAlignment="1">
      <alignment horizontal="centerContinuous"/>
    </xf>
    <xf numFmtId="0" fontId="10" fillId="0" borderId="0" xfId="0" applyFont="1" applyAlignment="1">
      <alignment horizontal="centerContinuous"/>
    </xf>
    <xf numFmtId="165" fontId="8" fillId="0" borderId="0" xfId="0" applyNumberFormat="1" applyFont="1"/>
    <xf numFmtId="165" fontId="11" fillId="0" borderId="0" xfId="0" applyNumberFormat="1" applyFont="1" applyAlignment="1">
      <alignment horizontal="centerContinuous"/>
    </xf>
    <xf numFmtId="0" fontId="13" fillId="0" borderId="0" xfId="0" applyFont="1" applyAlignment="1">
      <alignment horizontal="right"/>
    </xf>
    <xf numFmtId="0" fontId="3" fillId="0" borderId="0" xfId="0" applyFont="1" applyBorder="1" applyAlignment="1">
      <alignment horizontal="center"/>
    </xf>
    <xf numFmtId="0" fontId="15" fillId="0" borderId="0" xfId="0" applyFont="1" applyBorder="1" applyAlignment="1" applyProtection="1">
      <alignment horizontal="center"/>
    </xf>
    <xf numFmtId="49" fontId="3" fillId="0" borderId="0" xfId="0" applyNumberFormat="1" applyFont="1" applyBorder="1" applyAlignment="1">
      <alignment horizontal="center"/>
    </xf>
    <xf numFmtId="165" fontId="18" fillId="0" borderId="1" xfId="0" applyNumberFormat="1" applyFont="1" applyBorder="1" applyAlignment="1" applyProtection="1">
      <alignment horizontal="right"/>
      <protection locked="0"/>
    </xf>
    <xf numFmtId="165" fontId="9" fillId="0" borderId="2" xfId="0" applyNumberFormat="1" applyFont="1" applyBorder="1" applyAlignment="1" applyProtection="1">
      <alignment horizontal="right"/>
      <protection locked="0"/>
    </xf>
    <xf numFmtId="165" fontId="19" fillId="0" borderId="3" xfId="0" applyNumberFormat="1" applyFont="1" applyBorder="1" applyAlignment="1" applyProtection="1">
      <alignment horizontal="right"/>
      <protection locked="0"/>
    </xf>
    <xf numFmtId="165" fontId="9" fillId="0" borderId="2" xfId="0" applyNumberFormat="1" applyFont="1" applyBorder="1" applyAlignment="1" applyProtection="1">
      <alignment horizontal="right"/>
    </xf>
    <xf numFmtId="0" fontId="9" fillId="0" borderId="0" xfId="0" applyFont="1" applyAlignment="1">
      <alignment horizontal="centerContinuous"/>
    </xf>
    <xf numFmtId="0" fontId="18" fillId="0" borderId="0" xfId="0" applyFont="1" applyBorder="1"/>
    <xf numFmtId="0" fontId="17" fillId="0" borderId="0" xfId="0" applyFont="1" applyBorder="1" applyAlignment="1" applyProtection="1">
      <alignment horizontal="right"/>
    </xf>
    <xf numFmtId="167" fontId="21" fillId="0" borderId="0" xfId="0" applyNumberFormat="1" applyFont="1" applyBorder="1"/>
    <xf numFmtId="165" fontId="20" fillId="0" borderId="0" xfId="0" applyNumberFormat="1" applyFont="1" applyBorder="1"/>
    <xf numFmtId="0" fontId="2" fillId="0" borderId="4" xfId="0" applyFont="1" applyBorder="1" applyAlignment="1">
      <alignment horizontal="center"/>
    </xf>
    <xf numFmtId="0" fontId="6" fillId="2" borderId="5" xfId="0" applyFont="1" applyFill="1" applyBorder="1" applyAlignment="1">
      <alignment horizontal="center"/>
    </xf>
    <xf numFmtId="165" fontId="22" fillId="0" borderId="6" xfId="0" applyNumberFormat="1" applyFont="1" applyBorder="1" applyAlignment="1" applyProtection="1">
      <alignment horizontal="left"/>
      <protection locked="0"/>
    </xf>
    <xf numFmtId="165" fontId="20" fillId="0" borderId="7" xfId="0" applyNumberFormat="1" applyFont="1" applyBorder="1" applyAlignment="1" applyProtection="1">
      <alignment horizontal="left"/>
      <protection locked="0"/>
    </xf>
    <xf numFmtId="165" fontId="21" fillId="0" borderId="8" xfId="0" applyNumberFormat="1" applyFont="1" applyBorder="1" applyAlignment="1" applyProtection="1">
      <alignment horizontal="left"/>
      <protection locked="0"/>
    </xf>
    <xf numFmtId="0" fontId="4" fillId="0" borderId="8" xfId="0" applyFont="1" applyBorder="1" applyAlignment="1" applyProtection="1">
      <alignment horizontal="center"/>
    </xf>
    <xf numFmtId="0" fontId="4" fillId="0" borderId="3" xfId="0" applyFont="1" applyBorder="1" applyAlignment="1">
      <alignment horizontal="center"/>
    </xf>
    <xf numFmtId="165" fontId="18" fillId="0" borderId="4" xfId="0" applyNumberFormat="1" applyFont="1" applyBorder="1" applyAlignment="1" applyProtection="1">
      <alignment horizontal="center"/>
      <protection locked="0"/>
    </xf>
    <xf numFmtId="165" fontId="9" fillId="0" borderId="7" xfId="0" applyNumberFormat="1" applyFont="1" applyBorder="1" applyAlignment="1" applyProtection="1">
      <alignment horizontal="right"/>
      <protection locked="0"/>
    </xf>
    <xf numFmtId="0" fontId="4" fillId="0" borderId="8" xfId="0" applyFont="1" applyBorder="1" applyAlignment="1">
      <alignment horizontal="center"/>
    </xf>
    <xf numFmtId="165" fontId="9" fillId="0" borderId="8" xfId="0" applyNumberFormat="1" applyFont="1" applyBorder="1" applyAlignment="1" applyProtection="1">
      <alignment horizontal="right"/>
      <protection locked="0"/>
    </xf>
    <xf numFmtId="0" fontId="23" fillId="0" borderId="0" xfId="0" applyFont="1" applyAlignment="1">
      <alignment horizontal="centerContinuous"/>
    </xf>
    <xf numFmtId="165" fontId="18" fillId="0" borderId="7" xfId="0" applyNumberFormat="1" applyFont="1" applyBorder="1" applyAlignment="1" applyProtection="1">
      <alignment horizontal="right"/>
      <protection locked="0"/>
    </xf>
    <xf numFmtId="0" fontId="28" fillId="0" borderId="0" xfId="0" applyFont="1"/>
    <xf numFmtId="165" fontId="26" fillId="0" borderId="8" xfId="0" applyNumberFormat="1" applyFont="1" applyFill="1" applyBorder="1" applyAlignment="1" applyProtection="1">
      <alignment horizontal="left"/>
      <protection locked="0"/>
    </xf>
    <xf numFmtId="165" fontId="27" fillId="0" borderId="3" xfId="0" applyNumberFormat="1" applyFont="1" applyFill="1" applyBorder="1" applyAlignment="1" applyProtection="1">
      <alignment horizontal="right"/>
    </xf>
    <xf numFmtId="165" fontId="25" fillId="0" borderId="9" xfId="0" applyNumberFormat="1" applyFont="1" applyFill="1" applyBorder="1" applyAlignment="1" applyProtection="1">
      <alignment horizontal="right"/>
    </xf>
    <xf numFmtId="0" fontId="13" fillId="0" borderId="0" xfId="0" applyFont="1"/>
    <xf numFmtId="0" fontId="20" fillId="0" borderId="0" xfId="0" applyFont="1"/>
    <xf numFmtId="0" fontId="24" fillId="0" borderId="0" xfId="0" applyFont="1"/>
    <xf numFmtId="0" fontId="22" fillId="0" borderId="0" xfId="0" applyFont="1"/>
    <xf numFmtId="0" fontId="32" fillId="0" borderId="0" xfId="0" applyFont="1" applyAlignment="1">
      <alignment horizontal="centerContinuous"/>
    </xf>
    <xf numFmtId="0" fontId="25" fillId="0" borderId="10" xfId="0" applyFont="1" applyBorder="1" applyAlignment="1">
      <alignment horizontal="center"/>
    </xf>
    <xf numFmtId="0" fontId="25" fillId="0" borderId="3" xfId="0" applyFont="1" applyBorder="1" applyAlignment="1">
      <alignment horizontal="center"/>
    </xf>
    <xf numFmtId="0" fontId="8" fillId="0" borderId="2" xfId="0" applyFont="1" applyBorder="1"/>
    <xf numFmtId="168" fontId="21" fillId="0" borderId="2" xfId="40" applyNumberFormat="1" applyFont="1" applyBorder="1" applyAlignment="1">
      <alignment horizontal="center"/>
    </xf>
    <xf numFmtId="0" fontId="8" fillId="0" borderId="0" xfId="0" applyFont="1" applyAlignment="1">
      <alignment horizontal="left"/>
    </xf>
    <xf numFmtId="0" fontId="8" fillId="0" borderId="3" xfId="0" applyFont="1" applyBorder="1"/>
    <xf numFmtId="168" fontId="21" fillId="0" borderId="3" xfId="40" applyNumberFormat="1" applyFont="1" applyBorder="1" applyAlignment="1">
      <alignment horizontal="center"/>
    </xf>
    <xf numFmtId="9" fontId="19" fillId="0" borderId="11" xfId="40" applyFont="1" applyBorder="1" applyAlignment="1">
      <alignment horizontal="center"/>
    </xf>
    <xf numFmtId="167" fontId="8" fillId="0" borderId="0" xfId="0" applyNumberFormat="1" applyFont="1"/>
    <xf numFmtId="3" fontId="8" fillId="0" borderId="0" xfId="0" applyNumberFormat="1" applyFont="1"/>
    <xf numFmtId="0" fontId="13" fillId="0" borderId="0" xfId="0" applyFont="1" applyAlignment="1">
      <alignment horizontal="left"/>
    </xf>
    <xf numFmtId="0" fontId="34" fillId="0" borderId="0" xfId="0" applyFont="1"/>
    <xf numFmtId="0" fontId="35" fillId="0" borderId="0" xfId="0" applyFont="1" applyAlignment="1">
      <alignment horizontal="centerContinuous"/>
    </xf>
    <xf numFmtId="0" fontId="36" fillId="0" borderId="0" xfId="0" applyFont="1" applyAlignment="1">
      <alignment horizontal="right"/>
    </xf>
    <xf numFmtId="0" fontId="9" fillId="0" borderId="1" xfId="0" applyFont="1" applyBorder="1"/>
    <xf numFmtId="0" fontId="36" fillId="0" borderId="0" xfId="0" applyFont="1" applyAlignment="1">
      <alignment horizontal="left"/>
    </xf>
    <xf numFmtId="0" fontId="26" fillId="0" borderId="0" xfId="0" quotePrefix="1" applyFont="1" applyAlignment="1">
      <alignment horizontal="left"/>
    </xf>
    <xf numFmtId="0" fontId="9" fillId="0" borderId="0" xfId="0" applyFont="1"/>
    <xf numFmtId="0" fontId="8" fillId="0" borderId="0" xfId="0" applyFont="1" applyBorder="1"/>
    <xf numFmtId="49" fontId="32" fillId="0" borderId="0" xfId="0" applyNumberFormat="1" applyFont="1" applyAlignment="1">
      <alignment horizontal="centerContinuous" readingOrder="2"/>
    </xf>
    <xf numFmtId="49" fontId="8" fillId="0" borderId="0" xfId="0" applyNumberFormat="1" applyFont="1" applyAlignment="1">
      <alignment horizontal="centerContinuous" readingOrder="2"/>
    </xf>
    <xf numFmtId="49" fontId="8" fillId="0" borderId="0" xfId="0" applyNumberFormat="1" applyFont="1" applyAlignment="1">
      <alignment readingOrder="2"/>
    </xf>
    <xf numFmtId="49" fontId="29" fillId="0" borderId="0" xfId="0" applyNumberFormat="1" applyFont="1" applyAlignment="1">
      <alignment horizontal="center" readingOrder="2"/>
    </xf>
    <xf numFmtId="49" fontId="8" fillId="0" borderId="12" xfId="0" applyNumberFormat="1" applyFont="1" applyBorder="1" applyAlignment="1">
      <alignment horizontal="right" readingOrder="2"/>
    </xf>
    <xf numFmtId="49" fontId="8" fillId="0" borderId="12" xfId="0" quotePrefix="1" applyNumberFormat="1" applyFont="1" applyBorder="1" applyAlignment="1">
      <alignment horizontal="right" readingOrder="2"/>
    </xf>
    <xf numFmtId="49" fontId="25" fillId="0" borderId="0" xfId="0" quotePrefix="1" applyNumberFormat="1" applyFont="1" applyAlignment="1">
      <alignment horizontal="right" readingOrder="2"/>
    </xf>
    <xf numFmtId="49" fontId="25" fillId="0" borderId="0" xfId="0" applyNumberFormat="1" applyFont="1" applyAlignment="1">
      <alignment horizontal="right" readingOrder="2"/>
    </xf>
    <xf numFmtId="49" fontId="8" fillId="0" borderId="0" xfId="0" applyNumberFormat="1" applyFont="1" applyAlignment="1">
      <alignment horizontal="right" readingOrder="2"/>
    </xf>
    <xf numFmtId="49" fontId="8" fillId="0" borderId="0" xfId="0" applyNumberFormat="1" applyFont="1" applyBorder="1" applyAlignment="1">
      <alignment horizontal="right" readingOrder="2"/>
    </xf>
    <xf numFmtId="49" fontId="23" fillId="0" borderId="0" xfId="0" applyNumberFormat="1" applyFont="1" applyAlignment="1">
      <alignment horizontal="centerContinuous"/>
    </xf>
    <xf numFmtId="0" fontId="30" fillId="0" borderId="0" xfId="0" applyFont="1"/>
    <xf numFmtId="49" fontId="30" fillId="0" borderId="0" xfId="0" applyNumberFormat="1" applyFont="1" applyAlignment="1">
      <alignment horizontal="center"/>
    </xf>
    <xf numFmtId="0" fontId="8" fillId="0" borderId="12" xfId="0" quotePrefix="1" applyFont="1" applyBorder="1" applyAlignment="1">
      <alignment horizontal="right"/>
    </xf>
    <xf numFmtId="0" fontId="31" fillId="0" borderId="12" xfId="0" applyFont="1" applyBorder="1"/>
    <xf numFmtId="0" fontId="8" fillId="0" borderId="12" xfId="0" applyFont="1" applyBorder="1"/>
    <xf numFmtId="0" fontId="40" fillId="0" borderId="0" xfId="0" applyFont="1"/>
    <xf numFmtId="0" fontId="25" fillId="0" borderId="0" xfId="0" applyFont="1"/>
    <xf numFmtId="0" fontId="40" fillId="0" borderId="0" xfId="0" applyFont="1" applyBorder="1"/>
    <xf numFmtId="0" fontId="31" fillId="0" borderId="0" xfId="0" applyFont="1" applyBorder="1"/>
    <xf numFmtId="49" fontId="8" fillId="0" borderId="0" xfId="0" applyNumberFormat="1" applyFont="1" applyAlignment="1">
      <alignment horizontal="center"/>
    </xf>
    <xf numFmtId="49" fontId="8" fillId="0" borderId="12" xfId="0" applyNumberFormat="1" applyFont="1" applyBorder="1" applyAlignment="1">
      <alignment horizontal="center"/>
    </xf>
    <xf numFmtId="49" fontId="31" fillId="0" borderId="12" xfId="0" applyNumberFormat="1" applyFont="1" applyBorder="1" applyAlignment="1">
      <alignment horizontal="center"/>
    </xf>
    <xf numFmtId="49" fontId="8" fillId="0" borderId="0" xfId="0" applyNumberFormat="1" applyFont="1" applyBorder="1" applyAlignment="1">
      <alignment horizontal="center"/>
    </xf>
    <xf numFmtId="0" fontId="24" fillId="0" borderId="0" xfId="0" applyFont="1" applyAlignment="1">
      <alignment horizontal="center" wrapText="1"/>
    </xf>
    <xf numFmtId="9" fontId="19" fillId="0" borderId="0" xfId="40" applyFont="1" applyBorder="1" applyAlignment="1">
      <alignment horizontal="center"/>
    </xf>
    <xf numFmtId="3" fontId="38" fillId="0" borderId="0" xfId="0" applyNumberFormat="1" applyFont="1" applyAlignment="1">
      <alignment horizontal="center" vertical="top"/>
    </xf>
    <xf numFmtId="0" fontId="33" fillId="0" borderId="13" xfId="0" applyFont="1" applyBorder="1"/>
    <xf numFmtId="0" fontId="8" fillId="0" borderId="5" xfId="0" applyFont="1" applyBorder="1"/>
    <xf numFmtId="0" fontId="8" fillId="0" borderId="14" xfId="0" applyFont="1" applyBorder="1"/>
    <xf numFmtId="0" fontId="8" fillId="0" borderId="15" xfId="0" applyFont="1" applyBorder="1"/>
    <xf numFmtId="165" fontId="25" fillId="0" borderId="0" xfId="0" applyNumberFormat="1" applyFont="1" applyFill="1" applyBorder="1" applyAlignment="1" applyProtection="1">
      <alignment horizontal="right"/>
    </xf>
    <xf numFmtId="3" fontId="22" fillId="0" borderId="0" xfId="0" applyNumberFormat="1" applyFont="1" applyFill="1" applyBorder="1"/>
    <xf numFmtId="0" fontId="9" fillId="0" borderId="16" xfId="0" applyFont="1" applyBorder="1"/>
    <xf numFmtId="0" fontId="9" fillId="0" borderId="17" xfId="0" applyFont="1" applyBorder="1"/>
    <xf numFmtId="0" fontId="8" fillId="0" borderId="0" xfId="0" applyFont="1" applyBorder="1" applyAlignment="1">
      <alignment horizontal="right"/>
    </xf>
    <xf numFmtId="0" fontId="20" fillId="0" borderId="0" xfId="0" applyFont="1" applyAlignment="1">
      <alignment horizontal="right" readingOrder="2"/>
    </xf>
    <xf numFmtId="165" fontId="9" fillId="0" borderId="2" xfId="0" quotePrefix="1" applyNumberFormat="1" applyFont="1" applyBorder="1" applyAlignment="1" applyProtection="1">
      <alignment horizontal="right" readingOrder="2"/>
      <protection locked="0"/>
    </xf>
    <xf numFmtId="49" fontId="8" fillId="0" borderId="18" xfId="0" quotePrefix="1" applyNumberFormat="1" applyFont="1" applyBorder="1" applyAlignment="1">
      <alignment horizontal="right" readingOrder="2"/>
    </xf>
    <xf numFmtId="0" fontId="19" fillId="0" borderId="0" xfId="0" quotePrefix="1" applyFont="1"/>
    <xf numFmtId="0" fontId="8" fillId="0" borderId="0" xfId="0" applyFont="1" applyFill="1"/>
    <xf numFmtId="165" fontId="8" fillId="0" borderId="2" xfId="0" applyNumberFormat="1" applyFont="1" applyFill="1" applyBorder="1" applyAlignment="1" applyProtection="1">
      <alignment horizontal="right"/>
      <protection locked="0"/>
    </xf>
    <xf numFmtId="166" fontId="20" fillId="0" borderId="19" xfId="0" applyNumberFormat="1" applyFont="1" applyFill="1" applyBorder="1" applyAlignment="1">
      <alignment horizontal="center"/>
    </xf>
    <xf numFmtId="166" fontId="20" fillId="0" borderId="2" xfId="0" applyNumberFormat="1" applyFont="1" applyFill="1" applyBorder="1" applyAlignment="1">
      <alignment horizontal="center"/>
    </xf>
    <xf numFmtId="165" fontId="8" fillId="0" borderId="2" xfId="0" applyNumberFormat="1" applyFont="1" applyFill="1" applyBorder="1" applyAlignment="1">
      <alignment horizontal="right" wrapText="1"/>
    </xf>
    <xf numFmtId="0" fontId="8" fillId="0" borderId="0" xfId="0" applyFont="1" applyAlignment="1">
      <alignment wrapText="1"/>
    </xf>
    <xf numFmtId="0" fontId="8" fillId="0" borderId="0" xfId="0" applyFont="1" applyAlignment="1">
      <alignment horizontal="centerContinuous" wrapText="1"/>
    </xf>
    <xf numFmtId="0" fontId="45" fillId="0" borderId="20" xfId="0" applyFont="1" applyBorder="1" applyAlignment="1">
      <alignment horizontal="center" wrapText="1"/>
    </xf>
    <xf numFmtId="0" fontId="5" fillId="0" borderId="21" xfId="0" applyFont="1" applyBorder="1" applyAlignment="1">
      <alignment horizontal="center" wrapText="1"/>
    </xf>
    <xf numFmtId="165" fontId="7" fillId="3" borderId="22" xfId="0" applyNumberFormat="1" applyFont="1" applyFill="1" applyBorder="1" applyAlignment="1">
      <alignment horizontal="center"/>
    </xf>
    <xf numFmtId="0" fontId="25" fillId="0" borderId="23" xfId="0" applyFont="1" applyFill="1" applyBorder="1" applyAlignment="1">
      <alignment horizontal="center"/>
    </xf>
    <xf numFmtId="0" fontId="25" fillId="0" borderId="24" xfId="0" applyFont="1" applyFill="1" applyBorder="1" applyAlignment="1">
      <alignment horizontal="center"/>
    </xf>
    <xf numFmtId="3" fontId="8" fillId="0" borderId="25" xfId="0" applyNumberFormat="1" applyFont="1" applyFill="1" applyBorder="1" applyAlignment="1" applyProtection="1">
      <alignment horizontal="right"/>
      <protection locked="0"/>
    </xf>
    <xf numFmtId="0" fontId="8" fillId="0" borderId="0" xfId="0" applyFont="1" applyAlignment="1">
      <alignment horizontal="center"/>
    </xf>
    <xf numFmtId="0" fontId="29" fillId="0" borderId="26" xfId="0" applyFont="1" applyFill="1" applyBorder="1" applyAlignment="1">
      <alignment horizontal="center"/>
    </xf>
    <xf numFmtId="49" fontId="25" fillId="0" borderId="27" xfId="0" applyNumberFormat="1" applyFont="1" applyFill="1" applyBorder="1" applyAlignment="1" applyProtection="1">
      <alignment horizontal="center"/>
    </xf>
    <xf numFmtId="3" fontId="8" fillId="0" borderId="28" xfId="0" applyNumberFormat="1" applyFont="1" applyFill="1" applyBorder="1" applyAlignment="1" applyProtection="1">
      <alignment horizontal="center"/>
      <protection locked="0"/>
    </xf>
    <xf numFmtId="3" fontId="5" fillId="3" borderId="29" xfId="0" applyNumberFormat="1" applyFont="1" applyFill="1" applyBorder="1" applyAlignment="1">
      <alignment horizontal="center"/>
    </xf>
    <xf numFmtId="49" fontId="8" fillId="0" borderId="30" xfId="0" applyNumberFormat="1" applyFont="1" applyBorder="1" applyAlignment="1">
      <alignment horizontal="right" readingOrder="2"/>
    </xf>
    <xf numFmtId="0" fontId="8" fillId="0" borderId="12" xfId="0" applyNumberFormat="1" applyFont="1" applyBorder="1" applyAlignment="1">
      <alignment horizontal="center"/>
    </xf>
    <xf numFmtId="0" fontId="31" fillId="0" borderId="12" xfId="0" applyNumberFormat="1" applyFont="1" applyBorder="1" applyAlignment="1">
      <alignment horizontal="center"/>
    </xf>
    <xf numFmtId="0" fontId="31" fillId="0" borderId="0" xfId="0" quotePrefix="1" applyNumberFormat="1" applyFont="1" applyBorder="1" applyAlignment="1">
      <alignment horizontal="center"/>
    </xf>
    <xf numFmtId="165" fontId="7" fillId="3" borderId="31" xfId="0" applyNumberFormat="1" applyFont="1" applyFill="1" applyBorder="1" applyAlignment="1">
      <alignment horizontal="center" wrapText="1"/>
    </xf>
    <xf numFmtId="0" fontId="8" fillId="0" borderId="0" xfId="39" applyFont="1" applyFill="1" applyAlignment="1">
      <alignment wrapText="1" readingOrder="2"/>
    </xf>
    <xf numFmtId="0" fontId="29" fillId="0" borderId="32" xfId="0" applyFont="1" applyFill="1" applyBorder="1" applyAlignment="1">
      <alignment horizontal="center"/>
    </xf>
    <xf numFmtId="49" fontId="25" fillId="0" borderId="33" xfId="0" applyNumberFormat="1" applyFont="1" applyFill="1" applyBorder="1" applyAlignment="1" applyProtection="1">
      <alignment horizontal="center"/>
    </xf>
    <xf numFmtId="3" fontId="8" fillId="0" borderId="34" xfId="0" applyNumberFormat="1" applyFont="1" applyFill="1" applyBorder="1" applyAlignment="1" applyProtection="1">
      <alignment horizontal="center"/>
      <protection locked="0"/>
    </xf>
    <xf numFmtId="3" fontId="5" fillId="3" borderId="35" xfId="0" applyNumberFormat="1" applyFont="1" applyFill="1" applyBorder="1" applyAlignment="1">
      <alignment horizontal="center"/>
    </xf>
    <xf numFmtId="0" fontId="31" fillId="0" borderId="0" xfId="39" applyFont="1" applyFill="1" applyAlignment="1">
      <alignment horizontal="right" vertical="center" wrapText="1" readingOrder="2"/>
    </xf>
    <xf numFmtId="0" fontId="8" fillId="0" borderId="0" xfId="39" applyFont="1" applyFill="1" applyAlignment="1">
      <alignment vertical="center" wrapText="1" readingOrder="2"/>
    </xf>
    <xf numFmtId="0" fontId="8" fillId="0" borderId="0" xfId="39" applyFont="1" applyFill="1" applyAlignment="1">
      <alignment vertical="top" wrapText="1" readingOrder="2"/>
    </xf>
    <xf numFmtId="0" fontId="8" fillId="0" borderId="36" xfId="0" applyFont="1" applyBorder="1"/>
    <xf numFmtId="166" fontId="20" fillId="0" borderId="36" xfId="0" applyNumberFormat="1" applyFont="1" applyFill="1" applyBorder="1" applyAlignment="1" applyProtection="1">
      <alignment horizontal="center"/>
      <protection locked="0"/>
    </xf>
    <xf numFmtId="0" fontId="41" fillId="0" borderId="0" xfId="39" quotePrefix="1" applyFont="1" applyFill="1" applyAlignment="1">
      <alignment horizontal="center" wrapText="1" readingOrder="2"/>
    </xf>
    <xf numFmtId="0" fontId="8" fillId="0" borderId="0" xfId="0" applyFont="1" applyFill="1" applyBorder="1" applyAlignment="1">
      <alignment wrapText="1"/>
    </xf>
    <xf numFmtId="0" fontId="8" fillId="0" borderId="0" xfId="39" applyFont="1" applyFill="1" applyBorder="1" applyAlignment="1">
      <alignment wrapText="1"/>
    </xf>
    <xf numFmtId="49" fontId="29" fillId="0" borderId="0" xfId="0" applyNumberFormat="1" applyFont="1" applyAlignment="1">
      <alignment horizontal="right" vertical="center" readingOrder="2"/>
    </xf>
    <xf numFmtId="0" fontId="41" fillId="0" borderId="0" xfId="39" applyFont="1" applyFill="1" applyAlignment="1">
      <alignment horizontal="center" wrapText="1" readingOrder="2"/>
    </xf>
    <xf numFmtId="0" fontId="32" fillId="0" borderId="0" xfId="0" applyFont="1" applyAlignment="1">
      <alignment horizontal="right"/>
    </xf>
    <xf numFmtId="0" fontId="8" fillId="35" borderId="2" xfId="0" applyFont="1" applyFill="1" applyBorder="1"/>
    <xf numFmtId="0" fontId="29" fillId="0" borderId="23" xfId="0" applyFont="1" applyBorder="1" applyAlignment="1">
      <alignment horizontal="center"/>
    </xf>
    <xf numFmtId="3" fontId="9" fillId="0" borderId="2" xfId="0" applyNumberFormat="1" applyFont="1" applyBorder="1" applyAlignment="1">
      <alignment horizontal="center"/>
    </xf>
    <xf numFmtId="3" fontId="9" fillId="0" borderId="28" xfId="0" applyNumberFormat="1" applyFont="1" applyBorder="1" applyAlignment="1">
      <alignment horizontal="center"/>
    </xf>
    <xf numFmtId="3" fontId="9" fillId="0" borderId="3" xfId="0" applyNumberFormat="1" applyFont="1" applyBorder="1" applyAlignment="1">
      <alignment horizontal="center"/>
    </xf>
    <xf numFmtId="3" fontId="9" fillId="0" borderId="37" xfId="0" applyNumberFormat="1" applyFont="1" applyBorder="1" applyAlignment="1">
      <alignment horizontal="center"/>
    </xf>
    <xf numFmtId="3" fontId="19" fillId="0" borderId="11" xfId="0" applyNumberFormat="1" applyFont="1" applyBorder="1" applyAlignment="1">
      <alignment horizontal="center"/>
    </xf>
    <xf numFmtId="3" fontId="19" fillId="0" borderId="27" xfId="0" applyNumberFormat="1" applyFont="1" applyBorder="1" applyAlignment="1">
      <alignment horizontal="center"/>
    </xf>
    <xf numFmtId="0" fontId="29" fillId="0" borderId="3" xfId="0" applyFont="1" applyBorder="1" applyAlignment="1">
      <alignment horizontal="center"/>
    </xf>
    <xf numFmtId="0" fontId="29" fillId="0" borderId="37" xfId="0" applyFont="1" applyBorder="1" applyAlignment="1">
      <alignment horizontal="center"/>
    </xf>
    <xf numFmtId="3" fontId="19" fillId="0" borderId="2" xfId="0" applyNumberFormat="1" applyFont="1" applyBorder="1" applyAlignment="1">
      <alignment horizontal="center"/>
    </xf>
    <xf numFmtId="3" fontId="19" fillId="0" borderId="3" xfId="0" applyNumberFormat="1" applyFont="1" applyBorder="1" applyAlignment="1">
      <alignment horizontal="center"/>
    </xf>
    <xf numFmtId="3" fontId="19" fillId="0" borderId="1" xfId="0" applyNumberFormat="1" applyFont="1" applyBorder="1" applyAlignment="1">
      <alignment horizontal="center"/>
    </xf>
    <xf numFmtId="0" fontId="8" fillId="0" borderId="14" xfId="0" applyFont="1" applyBorder="1" applyAlignment="1">
      <alignment horizontal="center"/>
    </xf>
    <xf numFmtId="3" fontId="9" fillId="0" borderId="14" xfId="0" applyNumberFormat="1" applyFont="1" applyBorder="1" applyAlignment="1">
      <alignment horizontal="center"/>
    </xf>
    <xf numFmtId="3" fontId="9" fillId="0" borderId="38" xfId="0" applyNumberFormat="1" applyFont="1" applyBorder="1" applyAlignment="1">
      <alignment horizontal="center"/>
    </xf>
    <xf numFmtId="3" fontId="19" fillId="0" borderId="0" xfId="0" applyNumberFormat="1" applyFont="1" applyBorder="1" applyAlignment="1">
      <alignment horizontal="center"/>
    </xf>
    <xf numFmtId="3" fontId="19" fillId="0" borderId="15" xfId="0" applyNumberFormat="1" applyFont="1" applyBorder="1" applyAlignment="1">
      <alignment horizontal="center"/>
    </xf>
    <xf numFmtId="3" fontId="19" fillId="0" borderId="39" xfId="0" applyNumberFormat="1" applyFont="1" applyBorder="1" applyAlignment="1">
      <alignment horizontal="center"/>
    </xf>
    <xf numFmtId="0" fontId="19" fillId="0" borderId="25" xfId="0" applyFont="1" applyBorder="1" applyAlignment="1">
      <alignment horizontal="center"/>
    </xf>
    <xf numFmtId="0" fontId="19" fillId="0" borderId="40" xfId="0" applyFont="1" applyBorder="1" applyAlignment="1">
      <alignment horizontal="center"/>
    </xf>
    <xf numFmtId="0" fontId="29" fillId="0" borderId="40" xfId="0" applyFont="1" applyBorder="1" applyAlignment="1">
      <alignment horizontal="center"/>
    </xf>
    <xf numFmtId="0" fontId="19" fillId="0" borderId="8" xfId="0" applyFont="1" applyBorder="1" applyAlignment="1">
      <alignment horizontal="center"/>
    </xf>
    <xf numFmtId="0" fontId="29" fillId="0" borderId="20" xfId="0" applyFont="1" applyBorder="1" applyAlignment="1">
      <alignment horizontal="center"/>
    </xf>
    <xf numFmtId="0" fontId="29" fillId="0" borderId="6" xfId="0" applyFont="1" applyBorder="1" applyAlignment="1">
      <alignment horizontal="center"/>
    </xf>
    <xf numFmtId="0" fontId="19" fillId="0" borderId="0" xfId="0" applyFont="1" applyBorder="1" applyAlignment="1">
      <alignment horizontal="center"/>
    </xf>
    <xf numFmtId="0" fontId="19" fillId="0" borderId="41" xfId="0" applyFont="1" applyBorder="1" applyAlignment="1">
      <alignment horizontal="center"/>
    </xf>
    <xf numFmtId="0" fontId="19" fillId="0" borderId="42" xfId="0" applyFont="1" applyBorder="1" applyAlignment="1">
      <alignment horizontal="center"/>
    </xf>
    <xf numFmtId="0" fontId="19" fillId="0" borderId="43" xfId="0" applyFont="1" applyBorder="1" applyAlignment="1">
      <alignment horizontal="center"/>
    </xf>
    <xf numFmtId="0" fontId="4" fillId="3" borderId="5" xfId="0" applyFont="1" applyFill="1" applyBorder="1" applyAlignment="1">
      <alignment horizontal="center"/>
    </xf>
    <xf numFmtId="0" fontId="4" fillId="0" borderId="5" xfId="0" applyFont="1" applyBorder="1" applyAlignment="1">
      <alignment horizontal="center"/>
    </xf>
    <xf numFmtId="0" fontId="4" fillId="3" borderId="3" xfId="0" applyFont="1" applyFill="1" applyBorder="1" applyAlignment="1" applyProtection="1">
      <alignment horizontal="center"/>
    </xf>
    <xf numFmtId="3" fontId="20" fillId="0" borderId="2" xfId="0" applyNumberFormat="1" applyFont="1" applyBorder="1" applyAlignment="1">
      <alignment horizontal="center"/>
    </xf>
    <xf numFmtId="3" fontId="21" fillId="0" borderId="3" xfId="0" applyNumberFormat="1" applyFont="1" applyBorder="1" applyAlignment="1">
      <alignment horizontal="center"/>
    </xf>
    <xf numFmtId="3" fontId="20" fillId="0" borderId="1" xfId="0" applyNumberFormat="1" applyFont="1" applyBorder="1" applyAlignment="1">
      <alignment horizontal="center"/>
    </xf>
    <xf numFmtId="3" fontId="26" fillId="0" borderId="3" xfId="0" applyNumberFormat="1" applyFont="1" applyFill="1" applyBorder="1" applyAlignment="1">
      <alignment horizontal="center"/>
    </xf>
    <xf numFmtId="0" fontId="20" fillId="0" borderId="1" xfId="0" applyFont="1" applyBorder="1" applyAlignment="1">
      <alignment horizontal="center"/>
    </xf>
    <xf numFmtId="0" fontId="2" fillId="0" borderId="4" xfId="0" applyFont="1" applyBorder="1" applyAlignment="1">
      <alignment horizontal="left"/>
    </xf>
    <xf numFmtId="0" fontId="4" fillId="0" borderId="8" xfId="0" applyFont="1" applyBorder="1" applyAlignment="1" applyProtection="1">
      <alignment horizontal="left"/>
    </xf>
    <xf numFmtId="0" fontId="19" fillId="0" borderId="5" xfId="0" applyFont="1" applyBorder="1" applyAlignment="1">
      <alignment horizontal="center"/>
    </xf>
    <xf numFmtId="0" fontId="18" fillId="0" borderId="5" xfId="0" applyFont="1" applyBorder="1" applyAlignment="1">
      <alignment horizontal="center"/>
    </xf>
    <xf numFmtId="0" fontId="17" fillId="0" borderId="3" xfId="0" quotePrefix="1" applyFont="1" applyBorder="1" applyAlignment="1" applyProtection="1">
      <alignment horizontal="center"/>
    </xf>
    <xf numFmtId="3" fontId="22" fillId="0" borderId="2" xfId="0" applyNumberFormat="1" applyFont="1" applyBorder="1" applyAlignment="1">
      <alignment horizontal="center"/>
    </xf>
    <xf numFmtId="3" fontId="22" fillId="2" borderId="44" xfId="0" applyNumberFormat="1" applyFont="1" applyFill="1" applyBorder="1" applyAlignment="1">
      <alignment horizontal="center"/>
    </xf>
    <xf numFmtId="3" fontId="20" fillId="0" borderId="3" xfId="0" applyNumberFormat="1" applyFont="1" applyBorder="1" applyAlignment="1">
      <alignment horizontal="center"/>
    </xf>
    <xf numFmtId="3" fontId="22" fillId="0" borderId="45" xfId="0" applyNumberFormat="1" applyFont="1" applyFill="1" applyBorder="1" applyAlignment="1">
      <alignment horizontal="center"/>
    </xf>
    <xf numFmtId="165" fontId="26" fillId="0" borderId="0" xfId="0" applyNumberFormat="1" applyFont="1" applyFill="1" applyBorder="1" applyAlignment="1" applyProtection="1">
      <alignment horizontal="left"/>
      <protection locked="0"/>
    </xf>
    <xf numFmtId="165" fontId="27" fillId="0" borderId="0" xfId="0" applyNumberFormat="1" applyFont="1" applyFill="1" applyBorder="1" applyAlignment="1" applyProtection="1">
      <alignment horizontal="right"/>
    </xf>
    <xf numFmtId="3" fontId="26" fillId="0" borderId="0" xfId="0" applyNumberFormat="1" applyFont="1" applyFill="1" applyBorder="1" applyAlignment="1">
      <alignment horizont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27" xfId="0" applyNumberFormat="1" applyFont="1" applyFill="1" applyBorder="1" applyAlignment="1" applyProtection="1">
      <alignment horizontal="center" vertical="center"/>
    </xf>
    <xf numFmtId="0" fontId="24" fillId="0" borderId="0" xfId="0" applyFont="1" applyAlignment="1">
      <alignment horizontal="center"/>
    </xf>
    <xf numFmtId="0" fontId="20" fillId="0" borderId="0" xfId="0" applyFont="1" applyAlignment="1">
      <alignment horizontal="center"/>
    </xf>
    <xf numFmtId="0" fontId="8" fillId="0" borderId="0" xfId="0" applyFont="1" applyAlignment="1">
      <alignment horizontal="center" vertical="center"/>
    </xf>
    <xf numFmtId="3" fontId="8" fillId="0" borderId="2" xfId="0" applyNumberFormat="1" applyFont="1" applyFill="1" applyBorder="1" applyAlignment="1">
      <alignment horizontal="center" vertical="center"/>
    </xf>
    <xf numFmtId="3" fontId="8" fillId="0" borderId="46" xfId="0" applyNumberFormat="1" applyFont="1" applyFill="1" applyBorder="1" applyAlignment="1">
      <alignment horizontal="center" vertical="center"/>
    </xf>
    <xf numFmtId="3" fontId="8" fillId="0" borderId="47" xfId="0" applyNumberFormat="1" applyFont="1" applyFill="1" applyBorder="1" applyAlignment="1">
      <alignment horizontal="center" vertical="center"/>
    </xf>
    <xf numFmtId="3" fontId="5" fillId="3" borderId="48" xfId="0" applyNumberFormat="1" applyFont="1" applyFill="1" applyBorder="1" applyAlignment="1">
      <alignment horizontal="center" vertical="center"/>
    </xf>
    <xf numFmtId="3" fontId="5" fillId="3" borderId="49" xfId="0" applyNumberFormat="1" applyFont="1" applyFill="1" applyBorder="1" applyAlignment="1">
      <alignment horizontal="center" vertical="center"/>
    </xf>
    <xf numFmtId="49" fontId="8" fillId="0" borderId="34" xfId="0" applyNumberFormat="1" applyFont="1" applyFill="1" applyBorder="1" applyAlignment="1" applyProtection="1">
      <alignment horizontal="center"/>
      <protection locked="0"/>
    </xf>
    <xf numFmtId="3" fontId="8" fillId="0" borderId="0" xfId="0" applyNumberFormat="1" applyFont="1" applyFill="1" applyBorder="1" applyAlignment="1" applyProtection="1">
      <alignment horizontal="center"/>
      <protection locked="0"/>
    </xf>
    <xf numFmtId="0" fontId="24" fillId="36" borderId="0" xfId="0" applyFont="1" applyFill="1"/>
    <xf numFmtId="0" fontId="24" fillId="37" borderId="0" xfId="0" applyFont="1" applyFill="1"/>
    <xf numFmtId="0" fontId="24" fillId="38" borderId="0" xfId="0" applyFont="1" applyFill="1"/>
    <xf numFmtId="0" fontId="24" fillId="39" borderId="0" xfId="0" applyFont="1" applyFill="1"/>
    <xf numFmtId="0" fontId="24" fillId="40" borderId="0" xfId="0" applyFont="1" applyFill="1"/>
    <xf numFmtId="0" fontId="24" fillId="41" borderId="0" xfId="0" applyFont="1" applyFill="1"/>
    <xf numFmtId="0" fontId="24" fillId="42" borderId="0" xfId="0" applyFont="1" applyFill="1"/>
    <xf numFmtId="0" fontId="24" fillId="43" borderId="0" xfId="0" applyFont="1" applyFill="1"/>
    <xf numFmtId="0" fontId="24" fillId="44" borderId="0" xfId="0" applyFont="1" applyFill="1"/>
    <xf numFmtId="0" fontId="24" fillId="45" borderId="0" xfId="0" applyFont="1" applyFill="1"/>
    <xf numFmtId="0" fontId="8" fillId="0" borderId="0" xfId="39" applyFont="1" applyFill="1" applyAlignment="1">
      <alignment horizontal="right" vertical="top" wrapText="1"/>
    </xf>
    <xf numFmtId="0" fontId="31" fillId="0" borderId="0" xfId="39" applyFont="1" applyFill="1" applyAlignment="1">
      <alignment horizontal="right" vertical="top" wrapText="1" readingOrder="2"/>
    </xf>
    <xf numFmtId="0" fontId="8" fillId="0" borderId="0" xfId="39" applyFont="1" applyFill="1" applyBorder="1" applyAlignment="1">
      <alignment vertical="top" wrapText="1"/>
    </xf>
    <xf numFmtId="0" fontId="24" fillId="0" borderId="50" xfId="0" applyFont="1" applyFill="1" applyBorder="1" applyAlignment="1">
      <alignment horizontal="right" wrapText="1"/>
    </xf>
    <xf numFmtId="0" fontId="8" fillId="35" borderId="0" xfId="0" applyFont="1" applyFill="1"/>
    <xf numFmtId="0" fontId="11" fillId="35" borderId="0" xfId="0" applyFont="1" applyFill="1" applyAlignment="1">
      <alignment horizontal="centerContinuous"/>
    </xf>
    <xf numFmtId="0" fontId="23" fillId="35" borderId="0" xfId="0" applyFont="1" applyFill="1" applyAlignment="1">
      <alignment horizontal="centerContinuous"/>
    </xf>
    <xf numFmtId="0" fontId="8" fillId="35" borderId="0" xfId="0" applyFont="1" applyFill="1" applyAlignment="1">
      <alignment horizontal="centerContinuous"/>
    </xf>
    <xf numFmtId="0" fontId="41" fillId="35" borderId="0" xfId="0" applyFont="1" applyFill="1" applyAlignment="1">
      <alignment horizontal="centerContinuous"/>
    </xf>
    <xf numFmtId="0" fontId="32" fillId="35" borderId="0" xfId="0" applyFont="1" applyFill="1" applyAlignment="1">
      <alignment horizontal="centerContinuous"/>
    </xf>
    <xf numFmtId="0" fontId="29" fillId="46" borderId="10" xfId="0" applyFont="1" applyFill="1" applyBorder="1" applyAlignment="1">
      <alignment horizontal="center"/>
    </xf>
    <xf numFmtId="0" fontId="29" fillId="35" borderId="10" xfId="0" applyFont="1" applyFill="1" applyBorder="1" applyAlignment="1">
      <alignment horizontal="center"/>
    </xf>
    <xf numFmtId="0" fontId="29" fillId="35" borderId="26" xfId="0" applyFont="1" applyFill="1" applyBorder="1" applyAlignment="1">
      <alignment horizontal="center"/>
    </xf>
    <xf numFmtId="0" fontId="29" fillId="35" borderId="0" xfId="0" applyFont="1" applyFill="1" applyBorder="1"/>
    <xf numFmtId="0" fontId="29" fillId="46" borderId="11" xfId="0" applyFont="1" applyFill="1" applyBorder="1" applyAlignment="1">
      <alignment horizontal="center"/>
    </xf>
    <xf numFmtId="0" fontId="29" fillId="35" borderId="11" xfId="0" applyFont="1" applyFill="1" applyBorder="1" applyAlignment="1">
      <alignment horizontal="center"/>
    </xf>
    <xf numFmtId="0" fontId="29" fillId="35" borderId="27" xfId="0" applyFont="1" applyFill="1" applyBorder="1" applyAlignment="1">
      <alignment horizontal="center"/>
    </xf>
    <xf numFmtId="0" fontId="23" fillId="35" borderId="0" xfId="0" applyFont="1" applyFill="1" applyAlignment="1">
      <alignment horizontal="left"/>
    </xf>
    <xf numFmtId="0" fontId="8" fillId="35" borderId="51" xfId="0" applyFont="1" applyFill="1" applyBorder="1"/>
    <xf numFmtId="0" fontId="8" fillId="35" borderId="3" xfId="0" applyFont="1" applyFill="1" applyBorder="1"/>
    <xf numFmtId="3" fontId="9" fillId="35" borderId="3" xfId="0" applyNumberFormat="1" applyFont="1" applyFill="1" applyBorder="1" applyAlignment="1">
      <alignment horizontal="center"/>
    </xf>
    <xf numFmtId="3" fontId="9" fillId="35" borderId="37" xfId="0" applyNumberFormat="1" applyFont="1" applyFill="1" applyBorder="1" applyAlignment="1">
      <alignment horizontal="center"/>
    </xf>
    <xf numFmtId="167" fontId="9" fillId="35" borderId="0" xfId="0" applyNumberFormat="1" applyFont="1" applyFill="1" applyBorder="1"/>
    <xf numFmtId="0" fontId="8" fillId="35" borderId="52" xfId="0" applyFont="1" applyFill="1" applyBorder="1"/>
    <xf numFmtId="3" fontId="9" fillId="35" borderId="2" xfId="0" applyNumberFormat="1" applyFont="1" applyFill="1" applyBorder="1" applyAlignment="1">
      <alignment horizontal="center"/>
    </xf>
    <xf numFmtId="3" fontId="9" fillId="35" borderId="28" xfId="0" applyNumberFormat="1" applyFont="1" applyFill="1" applyBorder="1" applyAlignment="1">
      <alignment horizontal="center"/>
    </xf>
    <xf numFmtId="0" fontId="8" fillId="35" borderId="51" xfId="0" applyFont="1" applyFill="1" applyBorder="1" applyAlignment="1">
      <alignment horizontal="left"/>
    </xf>
    <xf numFmtId="0" fontId="8" fillId="35" borderId="53" xfId="0" applyFont="1" applyFill="1" applyBorder="1"/>
    <xf numFmtId="0" fontId="8" fillId="35" borderId="11" xfId="0" applyFont="1" applyFill="1" applyBorder="1"/>
    <xf numFmtId="3" fontId="9" fillId="35" borderId="11" xfId="0" applyNumberFormat="1" applyFont="1" applyFill="1" applyBorder="1" applyAlignment="1">
      <alignment horizontal="center"/>
    </xf>
    <xf numFmtId="3" fontId="9" fillId="35" borderId="27" xfId="0" applyNumberFormat="1" applyFont="1" applyFill="1" applyBorder="1" applyAlignment="1">
      <alignment horizontal="center"/>
    </xf>
    <xf numFmtId="0" fontId="33" fillId="35" borderId="53" xfId="0" applyFont="1" applyFill="1" applyBorder="1"/>
    <xf numFmtId="3" fontId="19" fillId="35" borderId="11" xfId="0" applyNumberFormat="1" applyFont="1" applyFill="1" applyBorder="1" applyAlignment="1">
      <alignment horizontal="center"/>
    </xf>
    <xf numFmtId="3" fontId="19" fillId="35" borderId="27" xfId="0" applyNumberFormat="1" applyFont="1" applyFill="1" applyBorder="1" applyAlignment="1">
      <alignment horizontal="center"/>
    </xf>
    <xf numFmtId="167" fontId="19" fillId="35" borderId="0" xfId="0" applyNumberFormat="1" applyFont="1" applyFill="1" applyBorder="1"/>
    <xf numFmtId="0" fontId="8" fillId="35" borderId="0" xfId="0" applyFont="1" applyFill="1" applyAlignment="1">
      <alignment horizontal="left"/>
    </xf>
    <xf numFmtId="0" fontId="20" fillId="35" borderId="0" xfId="0" applyFont="1" applyFill="1" applyAlignment="1">
      <alignment horizontal="right"/>
    </xf>
    <xf numFmtId="3" fontId="8" fillId="35" borderId="0" xfId="0" applyNumberFormat="1" applyFont="1" applyFill="1"/>
    <xf numFmtId="0" fontId="20" fillId="35" borderId="0" xfId="0" quotePrefix="1" applyFont="1" applyFill="1" applyAlignment="1">
      <alignment horizontal="right"/>
    </xf>
    <xf numFmtId="3" fontId="29" fillId="46" borderId="10" xfId="0" applyNumberFormat="1" applyFont="1" applyFill="1" applyBorder="1" applyAlignment="1">
      <alignment horizontal="center"/>
    </xf>
    <xf numFmtId="3" fontId="29" fillId="35" borderId="10" xfId="0" applyNumberFormat="1" applyFont="1" applyFill="1" applyBorder="1" applyAlignment="1">
      <alignment horizontal="center"/>
    </xf>
    <xf numFmtId="3" fontId="29" fillId="35" borderId="26" xfId="0" applyNumberFormat="1" applyFont="1" applyFill="1" applyBorder="1" applyAlignment="1">
      <alignment horizontal="center"/>
    </xf>
    <xf numFmtId="3" fontId="29" fillId="46" borderId="11" xfId="0" applyNumberFormat="1" applyFont="1" applyFill="1" applyBorder="1" applyAlignment="1">
      <alignment horizontal="center"/>
    </xf>
    <xf numFmtId="3" fontId="29" fillId="35" borderId="11" xfId="0" applyNumberFormat="1" applyFont="1" applyFill="1" applyBorder="1" applyAlignment="1">
      <alignment horizontal="center"/>
    </xf>
    <xf numFmtId="3" fontId="29" fillId="35" borderId="27" xfId="0" applyNumberFormat="1" applyFont="1" applyFill="1" applyBorder="1" applyAlignment="1">
      <alignment horizontal="center"/>
    </xf>
    <xf numFmtId="0" fontId="9" fillId="35" borderId="2" xfId="0" applyFont="1" applyFill="1" applyBorder="1"/>
    <xf numFmtId="10" fontId="8" fillId="35" borderId="0" xfId="0" applyNumberFormat="1" applyFont="1" applyFill="1"/>
    <xf numFmtId="0" fontId="9" fillId="35" borderId="3" xfId="0" applyFont="1" applyFill="1" applyBorder="1"/>
    <xf numFmtId="0" fontId="13" fillId="35" borderId="0" xfId="0" applyFont="1" applyFill="1" applyAlignment="1">
      <alignment horizontal="right"/>
    </xf>
    <xf numFmtId="0" fontId="13" fillId="35" borderId="0" xfId="0" applyFont="1" applyFill="1" applyBorder="1" applyAlignment="1">
      <alignment horizontal="right"/>
    </xf>
    <xf numFmtId="0" fontId="42" fillId="35" borderId="0" xfId="0" applyFont="1" applyFill="1" applyBorder="1"/>
    <xf numFmtId="3" fontId="13" fillId="35" borderId="0" xfId="0" applyNumberFormat="1" applyFont="1" applyFill="1" applyBorder="1" applyAlignment="1">
      <alignment horizontal="center"/>
    </xf>
    <xf numFmtId="0" fontId="8" fillId="35" borderId="53" xfId="0" quotePrefix="1" applyFont="1" applyFill="1" applyBorder="1" applyAlignment="1">
      <alignment horizontal="right"/>
    </xf>
    <xf numFmtId="0" fontId="24" fillId="35" borderId="54" xfId="0" applyFont="1" applyFill="1" applyBorder="1" applyAlignment="1">
      <alignment horizontal="right"/>
    </xf>
    <xf numFmtId="0" fontId="8" fillId="35" borderId="55" xfId="0" applyFont="1" applyFill="1" applyBorder="1"/>
    <xf numFmtId="3" fontId="24" fillId="35" borderId="56" xfId="0" applyNumberFormat="1" applyFont="1" applyFill="1" applyBorder="1" applyAlignment="1">
      <alignment horizontal="center"/>
    </xf>
    <xf numFmtId="0" fontId="24" fillId="35" borderId="57" xfId="0" applyFont="1" applyFill="1" applyBorder="1" applyAlignment="1">
      <alignment horizontal="right"/>
    </xf>
    <xf numFmtId="0" fontId="38" fillId="35" borderId="58" xfId="0" applyFont="1" applyFill="1" applyBorder="1"/>
    <xf numFmtId="3" fontId="24" fillId="35" borderId="59" xfId="37" applyNumberFormat="1" applyFont="1" applyFill="1" applyBorder="1" applyAlignment="1">
      <alignment horizontal="center"/>
    </xf>
    <xf numFmtId="0" fontId="33" fillId="35" borderId="0" xfId="0" applyFont="1" applyFill="1" applyBorder="1"/>
    <xf numFmtId="0" fontId="48" fillId="35" borderId="0" xfId="0" applyFont="1" applyFill="1" applyBorder="1"/>
    <xf numFmtId="3" fontId="24" fillId="35" borderId="0" xfId="0" applyNumberFormat="1" applyFont="1" applyFill="1" applyBorder="1" applyAlignment="1">
      <alignment horizontal="center" vertical="top"/>
    </xf>
    <xf numFmtId="3" fontId="13" fillId="35" borderId="0" xfId="37" applyNumberFormat="1" applyFont="1" applyFill="1" applyBorder="1" applyAlignment="1">
      <alignment horizontal="center"/>
    </xf>
    <xf numFmtId="3" fontId="8" fillId="35" borderId="0" xfId="0" applyNumberFormat="1" applyFont="1" applyFill="1" applyAlignment="1">
      <alignment horizontal="centerContinuous"/>
    </xf>
    <xf numFmtId="168" fontId="9" fillId="35" borderId="3" xfId="0" applyNumberFormat="1" applyFont="1" applyFill="1" applyBorder="1" applyAlignment="1">
      <alignment horizontal="center"/>
    </xf>
    <xf numFmtId="168" fontId="9" fillId="35" borderId="37" xfId="0" applyNumberFormat="1" applyFont="1" applyFill="1" applyBorder="1" applyAlignment="1">
      <alignment horizontal="center"/>
    </xf>
    <xf numFmtId="168" fontId="9" fillId="35" borderId="0" xfId="0" applyNumberFormat="1" applyFont="1" applyFill="1" applyBorder="1"/>
    <xf numFmtId="168" fontId="9" fillId="35" borderId="2" xfId="0" applyNumberFormat="1" applyFont="1" applyFill="1" applyBorder="1" applyAlignment="1">
      <alignment horizontal="center"/>
    </xf>
    <xf numFmtId="168" fontId="9" fillId="35" borderId="28" xfId="0" applyNumberFormat="1" applyFont="1" applyFill="1" applyBorder="1" applyAlignment="1">
      <alignment horizontal="center"/>
    </xf>
    <xf numFmtId="0" fontId="8" fillId="35" borderId="60" xfId="0" applyFont="1" applyFill="1" applyBorder="1"/>
    <xf numFmtId="168" fontId="9" fillId="35" borderId="11" xfId="0" applyNumberFormat="1" applyFont="1" applyFill="1" applyBorder="1" applyAlignment="1">
      <alignment horizontal="center"/>
    </xf>
    <xf numFmtId="168" fontId="9" fillId="35" borderId="27" xfId="0" applyNumberFormat="1" applyFont="1" applyFill="1" applyBorder="1" applyAlignment="1">
      <alignment horizontal="center"/>
    </xf>
    <xf numFmtId="9" fontId="19" fillId="35" borderId="11" xfId="0" applyNumberFormat="1" applyFont="1" applyFill="1" applyBorder="1" applyAlignment="1">
      <alignment horizontal="center"/>
    </xf>
    <xf numFmtId="9" fontId="19" fillId="35" borderId="27" xfId="0" applyNumberFormat="1" applyFont="1" applyFill="1" applyBorder="1" applyAlignment="1">
      <alignment horizontal="center"/>
    </xf>
    <xf numFmtId="9" fontId="19" fillId="35" borderId="0" xfId="0" applyNumberFormat="1" applyFont="1" applyFill="1" applyBorder="1"/>
    <xf numFmtId="0" fontId="38" fillId="35" borderId="0" xfId="0" applyFont="1" applyFill="1" applyBorder="1"/>
    <xf numFmtId="168" fontId="38" fillId="35" borderId="0" xfId="0" applyNumberFormat="1" applyFont="1" applyFill="1" applyBorder="1"/>
    <xf numFmtId="0" fontId="43" fillId="35" borderId="0" xfId="0" applyFont="1" applyFill="1"/>
    <xf numFmtId="0" fontId="20" fillId="35" borderId="11" xfId="0" applyFont="1" applyFill="1" applyBorder="1"/>
    <xf numFmtId="168" fontId="24" fillId="35" borderId="0" xfId="0" applyNumberFormat="1" applyFont="1" applyFill="1" applyBorder="1"/>
    <xf numFmtId="0" fontId="8" fillId="35" borderId="0" xfId="0" applyFont="1" applyFill="1" applyBorder="1"/>
    <xf numFmtId="9" fontId="24" fillId="35" borderId="0" xfId="0" applyNumberFormat="1" applyFont="1" applyFill="1" applyBorder="1"/>
    <xf numFmtId="167" fontId="29" fillId="35" borderId="0" xfId="0" applyNumberFormat="1" applyFont="1" applyFill="1" applyBorder="1" applyAlignment="1">
      <alignment horizontal="centerContinuous"/>
    </xf>
    <xf numFmtId="0" fontId="25" fillId="35" borderId="0" xfId="0" applyFont="1" applyFill="1"/>
    <xf numFmtId="0" fontId="8" fillId="35" borderId="0" xfId="0" applyFont="1" applyFill="1" applyAlignment="1"/>
    <xf numFmtId="0" fontId="30" fillId="35" borderId="0" xfId="0" applyFont="1" applyFill="1" applyAlignment="1">
      <alignment horizontal="centerContinuous"/>
    </xf>
    <xf numFmtId="0" fontId="43" fillId="35" borderId="0" xfId="0" applyFont="1" applyFill="1" applyAlignment="1">
      <alignment horizontal="centerContinuous"/>
    </xf>
    <xf numFmtId="0" fontId="29" fillId="35" borderId="61" xfId="0" applyFont="1" applyFill="1" applyBorder="1" applyAlignment="1">
      <alignment horizontal="centerContinuous"/>
    </xf>
    <xf numFmtId="0" fontId="8" fillId="35" borderId="62" xfId="0" applyFont="1" applyFill="1" applyBorder="1" applyAlignment="1">
      <alignment horizontal="centerContinuous"/>
    </xf>
    <xf numFmtId="0" fontId="8" fillId="35" borderId="63" xfId="0" applyFont="1" applyFill="1" applyBorder="1" applyAlignment="1">
      <alignment horizontal="centerContinuous"/>
    </xf>
    <xf numFmtId="0" fontId="19" fillId="35" borderId="20" xfId="0" applyFont="1" applyFill="1" applyBorder="1" applyAlignment="1">
      <alignment horizontal="center"/>
    </xf>
    <xf numFmtId="0" fontId="19" fillId="35" borderId="26" xfId="0" applyFont="1" applyFill="1" applyBorder="1" applyAlignment="1">
      <alignment horizontal="center"/>
    </xf>
    <xf numFmtId="0" fontId="19" fillId="35" borderId="21" xfId="0" applyFont="1" applyFill="1" applyBorder="1" applyAlignment="1">
      <alignment horizontal="center"/>
    </xf>
    <xf numFmtId="0" fontId="19" fillId="35" borderId="27" xfId="0" applyFont="1" applyFill="1" applyBorder="1" applyAlignment="1">
      <alignment horizontal="center"/>
    </xf>
    <xf numFmtId="0" fontId="8" fillId="35" borderId="40" xfId="0" applyFont="1" applyFill="1" applyBorder="1" applyAlignment="1">
      <alignment horizontal="right"/>
    </xf>
    <xf numFmtId="168" fontId="9" fillId="35" borderId="8" xfId="0" applyNumberFormat="1" applyFont="1" applyFill="1" applyBorder="1" applyAlignment="1">
      <alignment horizontal="center"/>
    </xf>
    <xf numFmtId="0" fontId="8" fillId="35" borderId="25" xfId="0" applyFont="1" applyFill="1" applyBorder="1" applyAlignment="1">
      <alignment horizontal="right"/>
    </xf>
    <xf numFmtId="168" fontId="9" fillId="35" borderId="7" xfId="0" applyNumberFormat="1" applyFont="1" applyFill="1" applyBorder="1" applyAlignment="1">
      <alignment horizontal="center"/>
    </xf>
    <xf numFmtId="0" fontId="9" fillId="35" borderId="24" xfId="0" applyFont="1" applyFill="1" applyBorder="1" applyAlignment="1">
      <alignment horizontal="right"/>
    </xf>
    <xf numFmtId="168" fontId="9" fillId="35" borderId="21" xfId="0" applyNumberFormat="1" applyFont="1" applyFill="1" applyBorder="1" applyAlignment="1">
      <alignment horizontal="center"/>
    </xf>
    <xf numFmtId="0" fontId="33" fillId="35" borderId="24" xfId="0" applyFont="1" applyFill="1" applyBorder="1" applyAlignment="1">
      <alignment horizontal="centerContinuous"/>
    </xf>
    <xf numFmtId="168" fontId="19" fillId="35" borderId="21" xfId="0" applyNumberFormat="1" applyFont="1" applyFill="1" applyBorder="1" applyAlignment="1">
      <alignment horizontal="center"/>
    </xf>
    <xf numFmtId="168" fontId="19" fillId="35" borderId="27" xfId="0" applyNumberFormat="1" applyFont="1" applyFill="1" applyBorder="1" applyAlignment="1">
      <alignment horizontal="center"/>
    </xf>
    <xf numFmtId="0" fontId="33" fillId="35" borderId="0" xfId="0" applyFont="1" applyFill="1" applyBorder="1" applyAlignment="1">
      <alignment horizontal="centerContinuous"/>
    </xf>
    <xf numFmtId="168" fontId="19" fillId="35" borderId="0" xfId="0" applyNumberFormat="1" applyFont="1" applyFill="1" applyBorder="1"/>
    <xf numFmtId="168" fontId="19" fillId="35" borderId="0" xfId="0" applyNumberFormat="1" applyFont="1" applyFill="1" applyBorder="1" applyAlignment="1">
      <alignment horizontal="right"/>
    </xf>
    <xf numFmtId="0" fontId="20" fillId="35" borderId="0" xfId="0" applyFont="1" applyFill="1"/>
    <xf numFmtId="0" fontId="8" fillId="35" borderId="24" xfId="0" applyFont="1" applyFill="1" applyBorder="1" applyAlignment="1">
      <alignment horizontal="right"/>
    </xf>
    <xf numFmtId="0" fontId="24" fillId="35" borderId="0" xfId="0" applyFont="1" applyFill="1"/>
    <xf numFmtId="0" fontId="8" fillId="0" borderId="0" xfId="39" applyNumberFormat="1" applyFont="1" applyFill="1" applyAlignment="1">
      <alignment horizontal="right" vertical="center" wrapText="1"/>
    </xf>
    <xf numFmtId="0" fontId="24" fillId="0" borderId="64" xfId="0" applyFont="1" applyFill="1" applyBorder="1" applyAlignment="1">
      <alignment horizontal="right" wrapText="1"/>
    </xf>
    <xf numFmtId="166" fontId="20" fillId="0" borderId="65" xfId="0" applyNumberFormat="1" applyFont="1" applyFill="1" applyBorder="1" applyAlignment="1">
      <alignment horizontal="center"/>
    </xf>
    <xf numFmtId="166" fontId="20" fillId="0" borderId="66" xfId="0" applyNumberFormat="1" applyFont="1" applyFill="1" applyBorder="1" applyAlignment="1">
      <alignment horizontal="center"/>
    </xf>
    <xf numFmtId="3" fontId="8" fillId="0" borderId="66" xfId="0" applyNumberFormat="1" applyFont="1" applyFill="1" applyBorder="1" applyAlignment="1">
      <alignment horizontal="center" vertical="center"/>
    </xf>
    <xf numFmtId="2" fontId="87" fillId="35" borderId="67" xfId="0" applyNumberFormat="1" applyFont="1" applyFill="1" applyBorder="1" applyAlignment="1" applyProtection="1">
      <alignment horizontal="center"/>
      <protection locked="0"/>
    </xf>
    <xf numFmtId="2" fontId="87" fillId="35" borderId="2" xfId="0" applyNumberFormat="1" applyFont="1" applyFill="1" applyBorder="1" applyAlignment="1" applyProtection="1">
      <alignment horizontal="center"/>
      <protection locked="0"/>
    </xf>
    <xf numFmtId="166" fontId="87" fillId="35" borderId="50" xfId="0" applyNumberFormat="1" applyFont="1" applyFill="1" applyBorder="1" applyAlignment="1" applyProtection="1">
      <alignment horizontal="center"/>
      <protection locked="0"/>
    </xf>
    <xf numFmtId="166" fontId="88" fillId="35" borderId="19" xfId="0" applyNumberFormat="1" applyFont="1" applyFill="1" applyBorder="1" applyAlignment="1" applyProtection="1">
      <alignment horizontal="center"/>
      <protection locked="0"/>
    </xf>
    <xf numFmtId="166" fontId="88" fillId="35" borderId="2" xfId="0" applyNumberFormat="1" applyFont="1" applyFill="1" applyBorder="1" applyAlignment="1" applyProtection="1">
      <alignment horizontal="center"/>
      <protection locked="0"/>
    </xf>
    <xf numFmtId="165" fontId="89" fillId="35" borderId="19" xfId="0" applyNumberFormat="1" applyFont="1" applyFill="1" applyBorder="1" applyAlignment="1" applyProtection="1">
      <alignment horizontal="center"/>
      <protection locked="0"/>
    </xf>
    <xf numFmtId="3" fontId="90" fillId="35" borderId="2" xfId="0" applyNumberFormat="1" applyFont="1" applyFill="1" applyBorder="1" applyAlignment="1" applyProtection="1">
      <alignment horizontal="center"/>
      <protection locked="0"/>
    </xf>
    <xf numFmtId="3" fontId="91" fillId="35" borderId="2" xfId="0" applyNumberFormat="1" applyFont="1" applyFill="1" applyBorder="1" applyAlignment="1" applyProtection="1">
      <alignment horizontal="center"/>
      <protection locked="0"/>
    </xf>
    <xf numFmtId="3" fontId="91" fillId="35" borderId="28" xfId="0" applyNumberFormat="1" applyFont="1" applyFill="1" applyBorder="1" applyAlignment="1" applyProtection="1">
      <alignment horizontal="center"/>
      <protection locked="0"/>
    </xf>
    <xf numFmtId="0" fontId="29" fillId="35" borderId="10" xfId="0" applyFont="1" applyFill="1" applyBorder="1" applyAlignment="1">
      <alignment horizontal="center" vertical="center"/>
    </xf>
    <xf numFmtId="49" fontId="29" fillId="35" borderId="11" xfId="0" applyNumberFormat="1" applyFont="1" applyFill="1" applyBorder="1" applyAlignment="1" applyProtection="1">
      <alignment horizontal="center" vertical="center" wrapText="1"/>
    </xf>
    <xf numFmtId="0" fontId="0" fillId="35" borderId="0" xfId="0" applyFill="1"/>
    <xf numFmtId="0" fontId="8" fillId="0" borderId="0" xfId="39" applyNumberFormat="1" applyFont="1" applyFill="1" applyAlignment="1">
      <alignment horizontal="right" wrapText="1"/>
    </xf>
    <xf numFmtId="0" fontId="28" fillId="0" borderId="0" xfId="39" applyFont="1" applyFill="1" applyAlignment="1">
      <alignment horizontal="right" vertical="top" wrapText="1"/>
    </xf>
    <xf numFmtId="4" fontId="8" fillId="35" borderId="68" xfId="0" applyNumberFormat="1" applyFont="1" applyFill="1" applyBorder="1"/>
    <xf numFmtId="4" fontId="8" fillId="35" borderId="69" xfId="0" applyNumberFormat="1" applyFont="1" applyFill="1" applyBorder="1"/>
    <xf numFmtId="170" fontId="24" fillId="0" borderId="0" xfId="37" applyNumberFormat="1" applyFont="1"/>
    <xf numFmtId="0" fontId="40" fillId="0" borderId="0" xfId="39" applyFont="1" applyFill="1" applyAlignment="1">
      <alignment horizontal="right" wrapText="1" readingOrder="2"/>
    </xf>
    <xf numFmtId="0" fontId="8" fillId="0" borderId="0" xfId="0" applyFont="1" applyFill="1" applyBorder="1" applyAlignment="1">
      <alignment horizontal="right" wrapText="1"/>
    </xf>
    <xf numFmtId="0" fontId="31" fillId="0" borderId="0" xfId="39" applyFont="1" applyFill="1" applyBorder="1" applyAlignment="1">
      <alignment horizontal="right" vertical="top" wrapText="1"/>
    </xf>
    <xf numFmtId="3" fontId="20" fillId="0" borderId="0" xfId="0" applyNumberFormat="1" applyFont="1"/>
    <xf numFmtId="0" fontId="36" fillId="0" borderId="0" xfId="0" applyFont="1" applyAlignment="1">
      <alignment horizontal="left" vertical="center"/>
    </xf>
    <xf numFmtId="3" fontId="20" fillId="0" borderId="0" xfId="0" applyNumberFormat="1" applyFont="1" applyAlignment="1">
      <alignment vertical="center"/>
    </xf>
    <xf numFmtId="9" fontId="20" fillId="0" borderId="0" xfId="0" applyNumberFormat="1" applyFont="1" applyAlignment="1">
      <alignment vertical="center"/>
    </xf>
    <xf numFmtId="0" fontId="28" fillId="35" borderId="12" xfId="0" applyFont="1" applyFill="1" applyBorder="1"/>
    <xf numFmtId="0" fontId="31" fillId="35" borderId="12" xfId="0" applyNumberFormat="1" applyFont="1" applyFill="1" applyBorder="1" applyAlignment="1">
      <alignment horizontal="center"/>
    </xf>
    <xf numFmtId="0" fontId="92" fillId="35" borderId="23" xfId="0" applyFont="1" applyFill="1" applyBorder="1" applyAlignment="1" applyProtection="1">
      <alignment vertical="center"/>
    </xf>
    <xf numFmtId="0" fontId="92" fillId="35" borderId="70" xfId="0" applyFont="1" applyFill="1" applyBorder="1" applyAlignment="1" applyProtection="1">
      <alignment vertical="center"/>
    </xf>
    <xf numFmtId="0" fontId="92" fillId="35" borderId="71" xfId="0" applyFont="1" applyFill="1" applyBorder="1" applyAlignment="1" applyProtection="1">
      <alignment vertical="center"/>
    </xf>
    <xf numFmtId="0" fontId="93" fillId="35" borderId="10" xfId="0" applyFont="1" applyFill="1" applyBorder="1" applyAlignment="1">
      <alignment horizontal="center" vertical="center" wrapText="1"/>
    </xf>
    <xf numFmtId="2" fontId="94" fillId="42" borderId="72" xfId="0" quotePrefix="1" applyNumberFormat="1" applyFont="1" applyFill="1" applyBorder="1" applyAlignment="1">
      <alignment horizontal="center" vertical="center"/>
    </xf>
    <xf numFmtId="2" fontId="94" fillId="35" borderId="10" xfId="0" quotePrefix="1" applyNumberFormat="1" applyFont="1" applyFill="1" applyBorder="1" applyAlignment="1">
      <alignment horizontal="center" vertical="center"/>
    </xf>
    <xf numFmtId="0" fontId="92" fillId="35" borderId="70" xfId="0" applyFont="1" applyFill="1" applyBorder="1" applyAlignment="1">
      <alignment horizontal="center" vertical="center"/>
    </xf>
    <xf numFmtId="0" fontId="29" fillId="35" borderId="26" xfId="0" applyFont="1" applyFill="1" applyBorder="1" applyAlignment="1">
      <alignment horizontal="center" vertical="center"/>
    </xf>
    <xf numFmtId="0" fontId="92" fillId="35" borderId="24" xfId="0" applyFont="1" applyFill="1" applyBorder="1" applyAlignment="1" applyProtection="1">
      <alignment vertical="center"/>
    </xf>
    <xf numFmtId="0" fontId="92" fillId="35" borderId="73" xfId="0" applyFont="1" applyFill="1" applyBorder="1" applyAlignment="1" applyProtection="1">
      <alignment vertical="center"/>
    </xf>
    <xf numFmtId="0" fontId="92" fillId="35" borderId="74" xfId="0" applyFont="1" applyFill="1" applyBorder="1" applyAlignment="1" applyProtection="1">
      <alignment vertical="center"/>
    </xf>
    <xf numFmtId="0" fontId="95" fillId="35" borderId="11" xfId="0" applyFont="1" applyFill="1" applyBorder="1" applyAlignment="1">
      <alignment horizontal="center" vertical="center" wrapText="1"/>
    </xf>
    <xf numFmtId="2" fontId="92" fillId="40" borderId="73" xfId="0" applyNumberFormat="1" applyFont="1" applyFill="1" applyBorder="1" applyAlignment="1">
      <alignment horizontal="center" vertical="center"/>
    </xf>
    <xf numFmtId="49" fontId="92" fillId="40" borderId="11" xfId="0" applyNumberFormat="1" applyFont="1" applyFill="1" applyBorder="1" applyAlignment="1">
      <alignment horizontal="center" vertical="center"/>
    </xf>
    <xf numFmtId="2" fontId="92" fillId="42" borderId="75" xfId="0" applyNumberFormat="1" applyFont="1" applyFill="1" applyBorder="1" applyAlignment="1">
      <alignment horizontal="center" vertical="center"/>
    </xf>
    <xf numFmtId="49" fontId="92" fillId="35" borderId="11" xfId="0" applyNumberFormat="1" applyFont="1" applyFill="1" applyBorder="1" applyAlignment="1">
      <alignment horizontal="center" vertical="center"/>
    </xf>
    <xf numFmtId="0" fontId="94" fillId="35" borderId="73" xfId="0" applyFont="1" applyFill="1" applyBorder="1" applyAlignment="1">
      <alignment horizontal="center" vertical="center"/>
    </xf>
    <xf numFmtId="49" fontId="25" fillId="35" borderId="11" xfId="0" applyNumberFormat="1" applyFont="1" applyFill="1" applyBorder="1" applyAlignment="1" applyProtection="1">
      <alignment horizontal="center" vertical="center" wrapText="1"/>
    </xf>
    <xf numFmtId="49" fontId="29" fillId="35" borderId="11" xfId="0" applyNumberFormat="1" applyFont="1" applyFill="1" applyBorder="1" applyAlignment="1">
      <alignment horizontal="center" vertical="center" wrapText="1"/>
    </xf>
    <xf numFmtId="49" fontId="29" fillId="35" borderId="27" xfId="0" applyNumberFormat="1" applyFont="1" applyFill="1" applyBorder="1" applyAlignment="1" applyProtection="1">
      <alignment horizontal="center" vertical="center" wrapText="1"/>
    </xf>
    <xf numFmtId="165" fontId="91" fillId="35" borderId="2" xfId="0" applyNumberFormat="1" applyFont="1" applyFill="1" applyBorder="1" applyAlignment="1" applyProtection="1">
      <alignment horizontal="right" wrapText="1"/>
      <protection locked="0"/>
    </xf>
    <xf numFmtId="2" fontId="87" fillId="40" borderId="19" xfId="0" applyNumberFormat="1" applyFont="1" applyFill="1" applyBorder="1" applyAlignment="1" applyProtection="1">
      <alignment horizontal="center"/>
      <protection locked="0"/>
    </xf>
    <xf numFmtId="2" fontId="87" fillId="40" borderId="2" xfId="0" applyNumberFormat="1" applyFont="1" applyFill="1" applyBorder="1" applyAlignment="1" applyProtection="1">
      <alignment horizontal="center"/>
      <protection locked="0"/>
    </xf>
    <xf numFmtId="2" fontId="87" fillId="42" borderId="67" xfId="0" applyNumberFormat="1" applyFont="1" applyFill="1" applyBorder="1" applyAlignment="1" applyProtection="1">
      <alignment horizontal="center"/>
      <protection locked="0"/>
    </xf>
    <xf numFmtId="0" fontId="91" fillId="35" borderId="2" xfId="0" applyFont="1" applyFill="1" applyBorder="1" applyAlignment="1" applyProtection="1">
      <alignment horizontal="right" wrapText="1"/>
    </xf>
    <xf numFmtId="166" fontId="88" fillId="35" borderId="19" xfId="0" applyNumberFormat="1" applyFont="1" applyFill="1" applyBorder="1" applyAlignment="1" applyProtection="1">
      <alignment horizontal="center"/>
    </xf>
    <xf numFmtId="0" fontId="91" fillId="35" borderId="2" xfId="0" applyFont="1" applyFill="1" applyBorder="1" applyAlignment="1" applyProtection="1">
      <alignment horizontal="right" wrapText="1" readingOrder="2"/>
    </xf>
    <xf numFmtId="165" fontId="91" fillId="35" borderId="2" xfId="0" quotePrefix="1" applyNumberFormat="1" applyFont="1" applyFill="1" applyBorder="1" applyAlignment="1" applyProtection="1">
      <alignment horizontal="right" wrapText="1"/>
      <protection locked="0"/>
    </xf>
    <xf numFmtId="166" fontId="91" fillId="35" borderId="2" xfId="0" applyNumberFormat="1" applyFont="1" applyFill="1" applyBorder="1" applyAlignment="1" applyProtection="1">
      <alignment horizontal="right" wrapText="1" readingOrder="2"/>
      <protection locked="0"/>
    </xf>
    <xf numFmtId="166" fontId="87" fillId="35" borderId="50" xfId="0" applyNumberFormat="1" applyFont="1" applyFill="1" applyBorder="1" applyAlignment="1" applyProtection="1">
      <alignment horizontal="center" wrapText="1"/>
      <protection locked="0"/>
    </xf>
    <xf numFmtId="166" fontId="88" fillId="35" borderId="19" xfId="0" applyNumberFormat="1" applyFont="1" applyFill="1" applyBorder="1" applyAlignment="1" applyProtection="1">
      <alignment horizontal="center" wrapText="1"/>
      <protection locked="0"/>
    </xf>
    <xf numFmtId="166" fontId="88" fillId="35" borderId="2" xfId="0" applyNumberFormat="1" applyFont="1" applyFill="1" applyBorder="1" applyAlignment="1" applyProtection="1">
      <alignment horizontal="center" wrapText="1"/>
      <protection locked="0"/>
    </xf>
    <xf numFmtId="2" fontId="87" fillId="42" borderId="67" xfId="0" applyNumberFormat="1" applyFont="1" applyFill="1" applyBorder="1" applyAlignment="1" applyProtection="1">
      <alignment horizontal="center" wrapText="1"/>
      <protection locked="0"/>
    </xf>
    <xf numFmtId="2" fontId="87" fillId="35" borderId="2" xfId="0" applyNumberFormat="1" applyFont="1" applyFill="1" applyBorder="1" applyAlignment="1" applyProtection="1">
      <alignment horizontal="center" wrapText="1"/>
      <protection locked="0"/>
    </xf>
    <xf numFmtId="165" fontId="89" fillId="35" borderId="19" xfId="0" applyNumberFormat="1" applyFont="1" applyFill="1" applyBorder="1" applyAlignment="1" applyProtection="1">
      <alignment horizontal="center" wrapText="1"/>
      <protection locked="0"/>
    </xf>
    <xf numFmtId="3" fontId="90" fillId="35" borderId="2" xfId="0" applyNumberFormat="1" applyFont="1" applyFill="1" applyBorder="1" applyAlignment="1" applyProtection="1">
      <alignment horizontal="center" wrapText="1"/>
      <protection locked="0"/>
    </xf>
    <xf numFmtId="3" fontId="91" fillId="35" borderId="2" xfId="0" applyNumberFormat="1" applyFont="1" applyFill="1" applyBorder="1" applyAlignment="1" applyProtection="1">
      <alignment horizontal="center" wrapText="1"/>
      <protection locked="0"/>
    </xf>
    <xf numFmtId="3" fontId="91" fillId="35" borderId="28" xfId="0" applyNumberFormat="1" applyFont="1" applyFill="1" applyBorder="1" applyAlignment="1" applyProtection="1">
      <alignment horizontal="center" wrapText="1"/>
      <protection locked="0"/>
    </xf>
    <xf numFmtId="2" fontId="24" fillId="42" borderId="67" xfId="0" applyNumberFormat="1" applyFont="1" applyFill="1" applyBorder="1" applyAlignment="1" applyProtection="1">
      <alignment horizontal="center"/>
      <protection locked="0"/>
    </xf>
    <xf numFmtId="2" fontId="87" fillId="35" borderId="12" xfId="0" applyNumberFormat="1" applyFont="1" applyFill="1" applyBorder="1" applyAlignment="1" applyProtection="1">
      <alignment horizontal="center"/>
      <protection locked="0"/>
    </xf>
    <xf numFmtId="166" fontId="87" fillId="35" borderId="76" xfId="0" applyNumberFormat="1" applyFont="1" applyFill="1" applyBorder="1" applyAlignment="1" applyProtection="1">
      <alignment horizontal="center"/>
      <protection locked="0"/>
    </xf>
    <xf numFmtId="166" fontId="88" fillId="35" borderId="77" xfId="0" applyNumberFormat="1" applyFont="1" applyFill="1" applyBorder="1" applyAlignment="1" applyProtection="1">
      <alignment horizontal="center"/>
      <protection locked="0"/>
    </xf>
    <xf numFmtId="166" fontId="88" fillId="35" borderId="78" xfId="0" applyNumberFormat="1" applyFont="1" applyFill="1" applyBorder="1" applyAlignment="1" applyProtection="1">
      <alignment horizontal="center"/>
      <protection locked="0"/>
    </xf>
    <xf numFmtId="166" fontId="91" fillId="35" borderId="78" xfId="0" applyNumberFormat="1" applyFont="1" applyFill="1" applyBorder="1" applyAlignment="1" applyProtection="1">
      <alignment horizontal="right" wrapText="1"/>
      <protection locked="0"/>
    </xf>
    <xf numFmtId="2" fontId="87" fillId="42" borderId="79" xfId="0" applyNumberFormat="1" applyFont="1" applyFill="1" applyBorder="1" applyAlignment="1" applyProtection="1">
      <alignment horizontal="center"/>
      <protection locked="0"/>
    </xf>
    <xf numFmtId="166" fontId="91" fillId="35" borderId="2" xfId="0" applyNumberFormat="1" applyFont="1" applyFill="1" applyBorder="1" applyAlignment="1" applyProtection="1">
      <alignment horizontal="right" wrapText="1"/>
      <protection locked="0"/>
    </xf>
    <xf numFmtId="165" fontId="91" fillId="35" borderId="78" xfId="0" applyNumberFormat="1" applyFont="1" applyFill="1" applyBorder="1" applyAlignment="1" applyProtection="1">
      <alignment horizontal="right" wrapText="1" readingOrder="2"/>
      <protection locked="0"/>
    </xf>
    <xf numFmtId="2" fontId="87" fillId="35" borderId="78" xfId="0" applyNumberFormat="1" applyFont="1" applyFill="1" applyBorder="1" applyAlignment="1" applyProtection="1">
      <alignment horizontal="center"/>
      <protection locked="0"/>
    </xf>
    <xf numFmtId="3" fontId="90" fillId="35" borderId="78" xfId="0" applyNumberFormat="1" applyFont="1" applyFill="1" applyBorder="1" applyAlignment="1" applyProtection="1">
      <alignment horizontal="center"/>
      <protection locked="0"/>
    </xf>
    <xf numFmtId="3" fontId="91" fillId="35" borderId="78" xfId="0" applyNumberFormat="1" applyFont="1" applyFill="1" applyBorder="1" applyAlignment="1" applyProtection="1">
      <alignment horizontal="center"/>
      <protection locked="0"/>
    </xf>
    <xf numFmtId="165" fontId="91" fillId="35" borderId="2" xfId="0" applyNumberFormat="1" applyFont="1" applyFill="1" applyBorder="1" applyAlignment="1" applyProtection="1">
      <alignment horizontal="right" wrapText="1" readingOrder="2"/>
      <protection locked="0"/>
    </xf>
    <xf numFmtId="165" fontId="91" fillId="35" borderId="2" xfId="0" quotePrefix="1" applyNumberFormat="1" applyFont="1" applyFill="1" applyBorder="1" applyAlignment="1" applyProtection="1">
      <alignment horizontal="right" wrapText="1" readingOrder="2"/>
      <protection locked="0"/>
    </xf>
    <xf numFmtId="166" fontId="91" fillId="35" borderId="2" xfId="0" quotePrefix="1" applyNumberFormat="1" applyFont="1" applyFill="1" applyBorder="1" applyAlignment="1" applyProtection="1">
      <alignment horizontal="right" wrapText="1" readingOrder="2"/>
      <protection locked="0"/>
    </xf>
    <xf numFmtId="165" fontId="96" fillId="35" borderId="0" xfId="0" applyNumberFormat="1" applyFont="1" applyFill="1" applyBorder="1" applyAlignment="1" applyProtection="1">
      <alignment horizontal="right"/>
      <protection locked="0"/>
    </xf>
    <xf numFmtId="171" fontId="97" fillId="35" borderId="0" xfId="0" applyNumberFormat="1" applyFont="1" applyFill="1" applyAlignment="1">
      <alignment horizontal="center"/>
    </xf>
    <xf numFmtId="174" fontId="97" fillId="35" borderId="0" xfId="0" applyNumberFormat="1" applyFont="1" applyFill="1" applyAlignment="1">
      <alignment horizontal="center"/>
    </xf>
    <xf numFmtId="165" fontId="8" fillId="35" borderId="2" xfId="0" applyNumberFormat="1" applyFont="1" applyFill="1" applyBorder="1" applyAlignment="1" applyProtection="1">
      <alignment horizontal="right" wrapText="1"/>
      <protection locked="0"/>
    </xf>
    <xf numFmtId="165" fontId="8" fillId="0" borderId="66" xfId="0" applyNumberFormat="1" applyFont="1" applyFill="1" applyBorder="1" applyAlignment="1">
      <alignment horizontal="right" wrapText="1"/>
    </xf>
    <xf numFmtId="165" fontId="8" fillId="0" borderId="2" xfId="0" applyNumberFormat="1" applyFont="1" applyFill="1" applyBorder="1" applyAlignment="1">
      <alignment horizontal="right" wrapText="1" readingOrder="2"/>
    </xf>
    <xf numFmtId="0" fontId="29" fillId="35" borderId="0" xfId="0" applyFont="1" applyFill="1" applyAlignment="1">
      <alignment horizontal="center" vertical="center"/>
    </xf>
    <xf numFmtId="0" fontId="9" fillId="35" borderId="0" xfId="0" applyFont="1" applyFill="1"/>
    <xf numFmtId="3" fontId="8" fillId="35" borderId="2" xfId="0" applyNumberFormat="1" applyFont="1" applyFill="1" applyBorder="1" applyAlignment="1">
      <alignment horizontal="center"/>
    </xf>
    <xf numFmtId="0" fontId="92" fillId="35" borderId="80" xfId="0" applyFont="1" applyFill="1" applyBorder="1" applyAlignment="1" applyProtection="1">
      <alignment vertical="center" wrapText="1"/>
    </xf>
    <xf numFmtId="0" fontId="92" fillId="35" borderId="53" xfId="0" applyFont="1" applyFill="1" applyBorder="1" applyAlignment="1" applyProtection="1">
      <alignment vertical="center" wrapText="1"/>
    </xf>
    <xf numFmtId="0" fontId="87" fillId="35" borderId="52" xfId="0" applyFont="1" applyFill="1" applyBorder="1" applyAlignment="1" applyProtection="1">
      <alignment horizontal="right" wrapText="1"/>
      <protection locked="0"/>
    </xf>
    <xf numFmtId="0" fontId="98" fillId="35" borderId="52" xfId="0" applyFont="1" applyFill="1" applyBorder="1" applyAlignment="1" applyProtection="1">
      <alignment horizontal="right" wrapText="1"/>
      <protection locked="0"/>
    </xf>
    <xf numFmtId="0" fontId="87" fillId="35" borderId="81" xfId="0" applyFont="1" applyFill="1" applyBorder="1" applyAlignment="1" applyProtection="1">
      <alignment horizontal="right" wrapText="1"/>
      <protection locked="0"/>
    </xf>
    <xf numFmtId="0" fontId="87" fillId="35" borderId="53" xfId="0" applyFont="1" applyFill="1" applyBorder="1" applyAlignment="1" applyProtection="1">
      <alignment horizontal="right" wrapText="1"/>
      <protection locked="0"/>
    </xf>
    <xf numFmtId="166" fontId="87" fillId="35" borderId="31" xfId="0" applyNumberFormat="1" applyFont="1" applyFill="1" applyBorder="1" applyAlignment="1" applyProtection="1">
      <alignment horizontal="center"/>
      <protection locked="0"/>
    </xf>
    <xf numFmtId="166" fontId="88" fillId="35" borderId="73" xfId="0" applyNumberFormat="1" applyFont="1" applyFill="1" applyBorder="1" applyAlignment="1" applyProtection="1">
      <alignment horizontal="center"/>
      <protection locked="0"/>
    </xf>
    <xf numFmtId="166" fontId="88" fillId="35" borderId="11" xfId="0" applyNumberFormat="1" applyFont="1" applyFill="1" applyBorder="1" applyAlignment="1" applyProtection="1">
      <alignment horizontal="center"/>
      <protection locked="0"/>
    </xf>
    <xf numFmtId="2" fontId="87" fillId="40" borderId="73" xfId="0" applyNumberFormat="1" applyFont="1" applyFill="1" applyBorder="1" applyAlignment="1" applyProtection="1">
      <alignment horizontal="center"/>
      <protection locked="0"/>
    </xf>
    <xf numFmtId="2" fontId="87" fillId="40" borderId="11" xfId="0" applyNumberFormat="1" applyFont="1" applyFill="1" applyBorder="1" applyAlignment="1" applyProtection="1">
      <alignment horizontal="center"/>
      <protection locked="0"/>
    </xf>
    <xf numFmtId="2" fontId="87" fillId="42" borderId="75" xfId="0" applyNumberFormat="1" applyFont="1" applyFill="1" applyBorder="1" applyAlignment="1" applyProtection="1">
      <alignment horizontal="center"/>
      <protection locked="0"/>
    </xf>
    <xf numFmtId="165" fontId="89" fillId="35" borderId="73" xfId="0" applyNumberFormat="1" applyFont="1" applyFill="1" applyBorder="1" applyAlignment="1" applyProtection="1">
      <alignment horizontal="center"/>
      <protection locked="0"/>
    </xf>
    <xf numFmtId="3" fontId="90" fillId="35" borderId="11" xfId="0" applyNumberFormat="1" applyFont="1" applyFill="1" applyBorder="1" applyAlignment="1" applyProtection="1">
      <alignment horizontal="center"/>
      <protection locked="0"/>
    </xf>
    <xf numFmtId="3" fontId="91" fillId="35" borderId="11" xfId="0" applyNumberFormat="1" applyFont="1" applyFill="1" applyBorder="1" applyAlignment="1" applyProtection="1">
      <alignment horizontal="center"/>
      <protection locked="0"/>
    </xf>
    <xf numFmtId="3" fontId="91" fillId="35" borderId="27" xfId="0" applyNumberFormat="1" applyFont="1" applyFill="1" applyBorder="1" applyAlignment="1" applyProtection="1">
      <alignment horizontal="center"/>
      <protection locked="0"/>
    </xf>
    <xf numFmtId="0" fontId="29" fillId="35" borderId="0" xfId="0" applyFont="1" applyFill="1" applyAlignment="1">
      <alignment horizontal="center" vertical="center" wrapText="1"/>
    </xf>
    <xf numFmtId="0" fontId="29" fillId="35" borderId="1" xfId="0" applyFont="1" applyFill="1" applyBorder="1" applyAlignment="1">
      <alignment horizontal="center"/>
    </xf>
    <xf numFmtId="0" fontId="19" fillId="35" borderId="82" xfId="0" applyFont="1" applyFill="1" applyBorder="1" applyAlignment="1">
      <alignment horizontal="center"/>
    </xf>
    <xf numFmtId="0" fontId="19" fillId="35" borderId="36" xfId="0" applyFont="1" applyFill="1" applyBorder="1" applyAlignment="1">
      <alignment horizontal="center"/>
    </xf>
    <xf numFmtId="0" fontId="19" fillId="35" borderId="3" xfId="0" applyFont="1" applyFill="1" applyBorder="1" applyAlignment="1">
      <alignment horizontal="center"/>
    </xf>
    <xf numFmtId="0" fontId="19" fillId="35" borderId="83" xfId="0" applyFont="1" applyFill="1" applyBorder="1" applyAlignment="1">
      <alignment horizontal="center"/>
    </xf>
    <xf numFmtId="0" fontId="19" fillId="35" borderId="37" xfId="0" applyFont="1" applyFill="1" applyBorder="1" applyAlignment="1">
      <alignment horizontal="center"/>
    </xf>
    <xf numFmtId="0" fontId="20" fillId="35" borderId="50" xfId="0" applyFont="1" applyFill="1" applyBorder="1" applyAlignment="1">
      <alignment horizontal="center"/>
    </xf>
    <xf numFmtId="49" fontId="20" fillId="35" borderId="67" xfId="0" applyNumberFormat="1" applyFont="1" applyFill="1" applyBorder="1" applyAlignment="1">
      <alignment horizontal="center"/>
    </xf>
    <xf numFmtId="49" fontId="9" fillId="35" borderId="7" xfId="0" quotePrefix="1" applyNumberFormat="1" applyFont="1" applyFill="1" applyBorder="1" applyAlignment="1">
      <alignment horizontal="right"/>
    </xf>
    <xf numFmtId="10" fontId="9" fillId="35" borderId="67" xfId="40" applyNumberFormat="1" applyFont="1" applyFill="1" applyBorder="1" applyAlignment="1">
      <alignment horizontal="center"/>
    </xf>
    <xf numFmtId="10" fontId="9" fillId="35" borderId="28" xfId="0" applyNumberFormat="1" applyFont="1" applyFill="1" applyBorder="1" applyAlignment="1">
      <alignment horizontal="center"/>
    </xf>
    <xf numFmtId="49" fontId="9" fillId="35" borderId="7" xfId="0" applyNumberFormat="1" applyFont="1" applyFill="1" applyBorder="1" applyAlignment="1">
      <alignment horizontal="right"/>
    </xf>
    <xf numFmtId="0" fontId="20" fillId="35" borderId="67" xfId="0" applyFont="1" applyFill="1" applyBorder="1" applyAlignment="1">
      <alignment horizontal="center"/>
    </xf>
    <xf numFmtId="0" fontId="9" fillId="35" borderId="7" xfId="0" applyFont="1" applyFill="1" applyBorder="1" applyAlignment="1">
      <alignment horizontal="right"/>
    </xf>
    <xf numFmtId="0" fontId="9" fillId="35" borderId="7" xfId="0" applyFont="1" applyFill="1" applyBorder="1" applyAlignment="1">
      <alignment horizontal="right" wrapText="1"/>
    </xf>
    <xf numFmtId="3" fontId="9" fillId="35" borderId="7" xfId="0" applyNumberFormat="1" applyFont="1" applyFill="1" applyBorder="1" applyAlignment="1">
      <alignment horizontal="right"/>
    </xf>
    <xf numFmtId="3" fontId="20" fillId="35" borderId="50" xfId="0" applyNumberFormat="1" applyFont="1" applyFill="1" applyBorder="1" applyAlignment="1">
      <alignment horizontal="center"/>
    </xf>
    <xf numFmtId="0" fontId="9" fillId="35" borderId="51" xfId="0" applyFont="1" applyFill="1" applyBorder="1"/>
    <xf numFmtId="0" fontId="9" fillId="35" borderId="42" xfId="0" applyFont="1" applyFill="1" applyBorder="1"/>
    <xf numFmtId="0" fontId="9" fillId="35" borderId="3" xfId="0" applyFont="1" applyFill="1" applyBorder="1" applyAlignment="1">
      <alignment horizontal="right"/>
    </xf>
    <xf numFmtId="3" fontId="8" fillId="35" borderId="3" xfId="0" applyNumberFormat="1" applyFont="1" applyFill="1" applyBorder="1" applyAlignment="1">
      <alignment horizontal="center"/>
    </xf>
    <xf numFmtId="10" fontId="9" fillId="35" borderId="83" xfId="40" applyNumberFormat="1" applyFont="1" applyFill="1" applyBorder="1" applyAlignment="1">
      <alignment horizontal="center"/>
    </xf>
    <xf numFmtId="10" fontId="9" fillId="35" borderId="37" xfId="0" applyNumberFormat="1" applyFont="1" applyFill="1" applyBorder="1" applyAlignment="1">
      <alignment horizontal="center"/>
    </xf>
    <xf numFmtId="0" fontId="29" fillId="35" borderId="53" xfId="0" applyFont="1" applyFill="1" applyBorder="1" applyAlignment="1">
      <alignment horizontal="right"/>
    </xf>
    <xf numFmtId="0" fontId="29" fillId="35" borderId="84" xfId="0" applyFont="1" applyFill="1" applyBorder="1" applyAlignment="1">
      <alignment horizontal="right"/>
    </xf>
    <xf numFmtId="3" fontId="29" fillId="35" borderId="21" xfId="0" applyNumberFormat="1" applyFont="1" applyFill="1" applyBorder="1" applyAlignment="1">
      <alignment horizontal="center"/>
    </xf>
    <xf numFmtId="168" fontId="19" fillId="35" borderId="75" xfId="40" applyNumberFormat="1" applyFont="1" applyFill="1" applyBorder="1" applyAlignment="1">
      <alignment horizontal="center"/>
    </xf>
    <xf numFmtId="0" fontId="24" fillId="0" borderId="31" xfId="0" applyFont="1" applyFill="1" applyBorder="1" applyAlignment="1">
      <alignment horizontal="right" wrapText="1"/>
    </xf>
    <xf numFmtId="166" fontId="20" fillId="0" borderId="73" xfId="0" applyNumberFormat="1" applyFont="1" applyFill="1" applyBorder="1" applyAlignment="1">
      <alignment horizontal="center"/>
    </xf>
    <xf numFmtId="166" fontId="20" fillId="0" borderId="11" xfId="0" applyNumberFormat="1" applyFont="1" applyFill="1" applyBorder="1" applyAlignment="1">
      <alignment horizontal="center"/>
    </xf>
    <xf numFmtId="165" fontId="8" fillId="0" borderId="11" xfId="0" applyNumberFormat="1" applyFont="1" applyFill="1" applyBorder="1" applyAlignment="1">
      <alignment horizontal="right" wrapText="1"/>
    </xf>
    <xf numFmtId="3" fontId="8" fillId="0" borderId="11" xfId="0" applyNumberFormat="1" applyFont="1" applyFill="1" applyBorder="1" applyAlignment="1">
      <alignment horizontal="center" vertical="center"/>
    </xf>
    <xf numFmtId="3" fontId="8" fillId="0" borderId="49" xfId="0" applyNumberFormat="1" applyFont="1" applyFill="1" applyBorder="1" applyAlignment="1">
      <alignment horizontal="center" vertical="center"/>
    </xf>
    <xf numFmtId="0" fontId="8" fillId="0" borderId="0" xfId="39" applyFont="1" applyFill="1" applyBorder="1" applyAlignment="1">
      <alignment vertical="center" wrapText="1"/>
    </xf>
    <xf numFmtId="0" fontId="8" fillId="0" borderId="0" xfId="0" applyFont="1" applyFill="1" applyBorder="1" applyAlignment="1">
      <alignment vertical="center" wrapText="1"/>
    </xf>
    <xf numFmtId="168" fontId="29" fillId="0" borderId="2" xfId="40" applyNumberFormat="1" applyFont="1" applyBorder="1" applyAlignment="1">
      <alignment horizontal="center"/>
    </xf>
    <xf numFmtId="0" fontId="44" fillId="0" borderId="0" xfId="0" applyFont="1" applyAlignment="1">
      <alignment horizontal="center"/>
    </xf>
    <xf numFmtId="3" fontId="8" fillId="0" borderId="2" xfId="0" applyNumberFormat="1" applyFont="1" applyFill="1" applyBorder="1" applyAlignment="1" applyProtection="1">
      <alignment horizontal="right"/>
      <protection locked="0"/>
    </xf>
    <xf numFmtId="0" fontId="52" fillId="0" borderId="0" xfId="0" applyFont="1"/>
    <xf numFmtId="3" fontId="36" fillId="0" borderId="0" xfId="0" applyNumberFormat="1" applyFont="1"/>
    <xf numFmtId="3" fontId="52" fillId="0" borderId="0" xfId="0" applyNumberFormat="1" applyFont="1"/>
    <xf numFmtId="0" fontId="29" fillId="0" borderId="0" xfId="0" applyFont="1" applyFill="1" applyBorder="1" applyAlignment="1">
      <alignment horizontal="center"/>
    </xf>
    <xf numFmtId="49" fontId="25" fillId="0" borderId="0" xfId="0" applyNumberFormat="1" applyFont="1" applyFill="1" applyBorder="1" applyAlignment="1" applyProtection="1">
      <alignment horizontal="center"/>
    </xf>
    <xf numFmtId="3" fontId="8" fillId="0" borderId="2" xfId="0" applyNumberFormat="1" applyFont="1" applyFill="1" applyBorder="1" applyAlignment="1">
      <alignment horizontal="center"/>
    </xf>
    <xf numFmtId="0" fontId="20" fillId="35" borderId="50" xfId="0" applyFont="1" applyFill="1" applyBorder="1" applyAlignment="1">
      <alignment horizontal="center" vertical="center"/>
    </xf>
    <xf numFmtId="0" fontId="20" fillId="35" borderId="2" xfId="0" applyFont="1" applyFill="1" applyBorder="1" applyAlignment="1">
      <alignment horizontal="center" vertical="center"/>
    </xf>
    <xf numFmtId="0" fontId="9" fillId="35" borderId="67" xfId="0" applyFont="1" applyFill="1" applyBorder="1" applyAlignment="1">
      <alignment horizontal="right" vertical="center"/>
    </xf>
    <xf numFmtId="3" fontId="8" fillId="35" borderId="7" xfId="0" applyNumberFormat="1" applyFont="1" applyFill="1" applyBorder="1" applyAlignment="1">
      <alignment horizontal="center" vertical="center"/>
    </xf>
    <xf numFmtId="10" fontId="9" fillId="35" borderId="67" xfId="0" applyNumberFormat="1" applyFont="1" applyFill="1" applyBorder="1" applyAlignment="1">
      <alignment horizontal="center" vertical="center"/>
    </xf>
    <xf numFmtId="169" fontId="9" fillId="35" borderId="85" xfId="0" applyNumberFormat="1" applyFont="1" applyFill="1" applyBorder="1" applyAlignment="1">
      <alignment horizontal="center" vertical="center"/>
    </xf>
    <xf numFmtId="0" fontId="8" fillId="35" borderId="0" xfId="0" applyFont="1" applyFill="1" applyAlignment="1">
      <alignment vertical="center"/>
    </xf>
    <xf numFmtId="3" fontId="8" fillId="35" borderId="0" xfId="0" applyNumberFormat="1" applyFont="1" applyFill="1" applyAlignment="1">
      <alignment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9" fillId="0" borderId="88" xfId="0" applyFont="1" applyBorder="1" applyAlignment="1">
      <alignment horizontal="right" vertical="center"/>
    </xf>
    <xf numFmtId="3" fontId="8" fillId="0" borderId="89" xfId="0" applyNumberFormat="1" applyFont="1" applyBorder="1" applyAlignment="1">
      <alignment horizontal="center" vertical="center"/>
    </xf>
    <xf numFmtId="10" fontId="9" fillId="0" borderId="88" xfId="0" applyNumberFormat="1" applyFont="1" applyBorder="1" applyAlignment="1">
      <alignment horizontal="center" vertical="center"/>
    </xf>
    <xf numFmtId="169" fontId="9" fillId="0" borderId="90" xfId="0" applyNumberFormat="1" applyFont="1" applyBorder="1" applyAlignment="1">
      <alignment horizontal="center" vertical="center"/>
    </xf>
    <xf numFmtId="0" fontId="8" fillId="0" borderId="0" xfId="0" applyFont="1" applyAlignment="1">
      <alignment vertical="center"/>
    </xf>
    <xf numFmtId="168" fontId="8" fillId="47" borderId="0" xfId="40" applyNumberFormat="1" applyFont="1" applyFill="1"/>
    <xf numFmtId="3" fontId="9" fillId="0" borderId="0" xfId="0" applyNumberFormat="1" applyFont="1" applyFill="1" applyBorder="1" applyAlignment="1" applyProtection="1">
      <alignment horizontal="center"/>
      <protection locked="0"/>
    </xf>
    <xf numFmtId="0" fontId="36" fillId="35" borderId="25" xfId="0" applyFont="1" applyFill="1" applyBorder="1" applyAlignment="1">
      <alignment horizontal="center"/>
    </xf>
    <xf numFmtId="0" fontId="29" fillId="35" borderId="91" xfId="0" applyFont="1" applyFill="1" applyBorder="1"/>
    <xf numFmtId="4" fontId="8" fillId="35" borderId="92" xfId="0" applyNumberFormat="1" applyFont="1" applyFill="1" applyBorder="1"/>
    <xf numFmtId="4" fontId="8" fillId="35" borderId="91" xfId="0" applyNumberFormat="1" applyFont="1" applyFill="1" applyBorder="1"/>
    <xf numFmtId="4" fontId="29" fillId="46" borderId="68" xfId="0" applyNumberFormat="1" applyFont="1" applyFill="1" applyBorder="1"/>
    <xf numFmtId="10" fontId="9" fillId="35" borderId="28" xfId="0" applyNumberFormat="1" applyFont="1" applyFill="1" applyBorder="1" applyAlignment="1">
      <alignment horizontal="right"/>
    </xf>
    <xf numFmtId="0" fontId="36" fillId="35" borderId="93" xfId="0" applyFont="1" applyFill="1" applyBorder="1" applyAlignment="1">
      <alignment horizontal="center"/>
    </xf>
    <xf numFmtId="0" fontId="29" fillId="35" borderId="68" xfId="0" applyFont="1" applyFill="1" applyBorder="1"/>
    <xf numFmtId="0" fontId="29" fillId="35" borderId="68" xfId="0" applyFont="1" applyFill="1" applyBorder="1" applyAlignment="1">
      <alignment horizontal="right"/>
    </xf>
    <xf numFmtId="0" fontId="10" fillId="35" borderId="0" xfId="0" applyFont="1" applyFill="1" applyAlignment="1">
      <alignment horizontal="centerContinuous"/>
    </xf>
    <xf numFmtId="0" fontId="32" fillId="35" borderId="0" xfId="0" applyFont="1" applyFill="1" applyAlignment="1">
      <alignment horizontal="left"/>
    </xf>
    <xf numFmtId="0" fontId="49" fillId="35" borderId="0" xfId="0" applyFont="1" applyFill="1"/>
    <xf numFmtId="0" fontId="29" fillId="46" borderId="23" xfId="0" applyFont="1" applyFill="1" applyBorder="1" applyAlignment="1">
      <alignment horizontal="center"/>
    </xf>
    <xf numFmtId="0" fontId="29" fillId="46" borderId="71" xfId="0" applyFont="1" applyFill="1" applyBorder="1"/>
    <xf numFmtId="0" fontId="29" fillId="46" borderId="94" xfId="0" applyFont="1" applyFill="1" applyBorder="1"/>
    <xf numFmtId="0" fontId="29" fillId="46" borderId="26" xfId="0" applyFont="1" applyFill="1" applyBorder="1" applyAlignment="1">
      <alignment horizontal="right"/>
    </xf>
    <xf numFmtId="0" fontId="29" fillId="46" borderId="24" xfId="0" applyFont="1" applyFill="1" applyBorder="1" applyAlignment="1">
      <alignment horizontal="center"/>
    </xf>
    <xf numFmtId="0" fontId="29" fillId="46" borderId="74" xfId="0" applyFont="1" applyFill="1" applyBorder="1"/>
    <xf numFmtId="0" fontId="29" fillId="46" borderId="95" xfId="0" applyFont="1" applyFill="1" applyBorder="1"/>
    <xf numFmtId="0" fontId="29" fillId="46" borderId="27" xfId="0" applyFont="1" applyFill="1" applyBorder="1" applyAlignment="1">
      <alignment horizontal="right"/>
    </xf>
    <xf numFmtId="0" fontId="36" fillId="35" borderId="96" xfId="0" applyFont="1" applyFill="1" applyBorder="1" applyAlignment="1">
      <alignment horizontal="center"/>
    </xf>
    <xf numFmtId="0" fontId="29" fillId="35" borderId="97" xfId="0" applyFont="1" applyFill="1" applyBorder="1"/>
    <xf numFmtId="4" fontId="8" fillId="35" borderId="98" xfId="0" applyNumberFormat="1" applyFont="1" applyFill="1" applyBorder="1"/>
    <xf numFmtId="4" fontId="8" fillId="35" borderId="97" xfId="0" applyNumberFormat="1" applyFont="1" applyFill="1" applyBorder="1"/>
    <xf numFmtId="4" fontId="29" fillId="46" borderId="99" xfId="0" applyNumberFormat="1" applyFont="1" applyFill="1" applyBorder="1"/>
    <xf numFmtId="10" fontId="9" fillId="35" borderId="27" xfId="0" applyNumberFormat="1" applyFont="1" applyFill="1" applyBorder="1" applyAlignment="1">
      <alignment horizontal="right"/>
    </xf>
    <xf numFmtId="0" fontId="37" fillId="35" borderId="0" xfId="0" applyFont="1" applyFill="1"/>
    <xf numFmtId="0" fontId="33" fillId="35" borderId="60" xfId="0" applyFont="1" applyFill="1" applyBorder="1" applyAlignment="1">
      <alignment horizontal="centerContinuous"/>
    </xf>
    <xf numFmtId="0" fontId="33" fillId="35" borderId="100" xfId="0" applyFont="1" applyFill="1" applyBorder="1" applyAlignment="1">
      <alignment horizontal="centerContinuous"/>
    </xf>
    <xf numFmtId="4" fontId="29" fillId="35" borderId="101" xfId="0" applyNumberFormat="1" applyFont="1" applyFill="1" applyBorder="1"/>
    <xf numFmtId="4" fontId="29" fillId="35" borderId="100" xfId="0" applyNumberFormat="1" applyFont="1" applyFill="1" applyBorder="1"/>
    <xf numFmtId="4" fontId="29" fillId="46" borderId="74" xfId="0" applyNumberFormat="1" applyFont="1" applyFill="1" applyBorder="1"/>
    <xf numFmtId="168" fontId="19" fillId="35" borderId="102" xfId="0" applyNumberFormat="1" applyFont="1" applyFill="1" applyBorder="1" applyAlignment="1">
      <alignment horizontal="right"/>
    </xf>
    <xf numFmtId="0" fontId="12" fillId="35" borderId="0" xfId="0" applyFont="1" applyFill="1"/>
    <xf numFmtId="0" fontId="36" fillId="35" borderId="0" xfId="0" applyFont="1" applyFill="1" applyAlignment="1">
      <alignment horizontal="center"/>
    </xf>
    <xf numFmtId="0" fontId="9" fillId="35" borderId="0" xfId="0" applyFont="1" applyFill="1" applyAlignment="1">
      <alignment horizontal="right"/>
    </xf>
    <xf numFmtId="4" fontId="9" fillId="35" borderId="0" xfId="0" applyNumberFormat="1" applyFont="1" applyFill="1"/>
    <xf numFmtId="4" fontId="24" fillId="35" borderId="0" xfId="0" applyNumberFormat="1" applyFont="1" applyFill="1"/>
    <xf numFmtId="0" fontId="46" fillId="35" borderId="0" xfId="0" applyFont="1" applyFill="1" applyAlignment="1">
      <alignment horizontal="right"/>
    </xf>
    <xf numFmtId="0" fontId="18" fillId="35" borderId="0" xfId="0" applyFont="1" applyFill="1"/>
    <xf numFmtId="4" fontId="27" fillId="35" borderId="0" xfId="0" applyNumberFormat="1" applyFont="1" applyFill="1"/>
    <xf numFmtId="0" fontId="22" fillId="35" borderId="0" xfId="0" applyFont="1" applyFill="1" applyBorder="1"/>
    <xf numFmtId="0" fontId="8" fillId="0" borderId="2" xfId="0" quotePrefix="1" applyFont="1" applyBorder="1" applyAlignment="1">
      <alignment horizontal="right" wrapText="1"/>
    </xf>
    <xf numFmtId="0" fontId="0" fillId="35" borderId="0" xfId="0" applyFill="1" applyAlignment="1">
      <alignment wrapText="1"/>
    </xf>
    <xf numFmtId="0" fontId="29" fillId="0" borderId="53" xfId="0" applyFont="1" applyBorder="1" applyAlignment="1">
      <alignment horizontal="right" vertical="center"/>
    </xf>
    <xf numFmtId="0" fontId="29" fillId="0" borderId="84" xfId="0" applyFont="1" applyBorder="1" applyAlignment="1">
      <alignment horizontal="center" vertical="center"/>
    </xf>
    <xf numFmtId="0" fontId="29" fillId="0" borderId="75" xfId="0" applyFont="1" applyBorder="1" applyAlignment="1">
      <alignment horizontal="right" vertical="center"/>
    </xf>
    <xf numFmtId="3" fontId="29" fillId="0" borderId="21" xfId="0" applyNumberFormat="1" applyFont="1" applyBorder="1" applyAlignment="1">
      <alignment horizontal="center" vertical="center"/>
    </xf>
    <xf numFmtId="168" fontId="19" fillId="0" borderId="75" xfId="0" applyNumberFormat="1" applyFont="1" applyBorder="1" applyAlignment="1">
      <alignment horizontal="center" vertical="center"/>
    </xf>
    <xf numFmtId="169" fontId="19" fillId="0" borderId="27" xfId="0" applyNumberFormat="1" applyFont="1" applyBorder="1" applyAlignment="1">
      <alignment horizontal="center" vertical="center"/>
    </xf>
    <xf numFmtId="169" fontId="8" fillId="0" borderId="0" xfId="40" applyNumberFormat="1" applyFont="1" applyFill="1" applyAlignment="1">
      <alignment vertical="center"/>
    </xf>
    <xf numFmtId="166" fontId="8" fillId="0" borderId="0" xfId="0" applyNumberFormat="1" applyFont="1" applyFill="1"/>
    <xf numFmtId="0" fontId="9" fillId="35" borderId="67" xfId="0" applyFont="1" applyFill="1" applyBorder="1" applyAlignment="1">
      <alignment horizontal="right" vertical="center" wrapText="1"/>
    </xf>
    <xf numFmtId="0" fontId="1" fillId="35" borderId="0" xfId="0" applyFont="1" applyFill="1"/>
    <xf numFmtId="0" fontId="20" fillId="0" borderId="0" xfId="0" applyFont="1" applyAlignment="1">
      <alignment wrapText="1"/>
    </xf>
    <xf numFmtId="0" fontId="1" fillId="35" borderId="0" xfId="39" applyFill="1" applyAlignment="1">
      <alignment horizontal="center"/>
    </xf>
    <xf numFmtId="49" fontId="99" fillId="35" borderId="0" xfId="39" applyNumberFormat="1" applyFont="1" applyFill="1" applyAlignment="1">
      <alignment horizontal="center" vertical="center"/>
    </xf>
    <xf numFmtId="0" fontId="1" fillId="35" borderId="0" xfId="39" applyFill="1" applyAlignment="1">
      <alignment horizontal="center" vertical="center"/>
    </xf>
    <xf numFmtId="0" fontId="1" fillId="35" borderId="0" xfId="39" applyFill="1"/>
    <xf numFmtId="0" fontId="1" fillId="35" borderId="0" xfId="39" applyFill="1" applyAlignment="1">
      <alignment horizontal="justify" vertical="center"/>
    </xf>
    <xf numFmtId="0" fontId="100" fillId="35" borderId="0" xfId="39" applyFont="1" applyFill="1"/>
    <xf numFmtId="0" fontId="1" fillId="35" borderId="0" xfId="39" applyFill="1" applyAlignment="1"/>
    <xf numFmtId="0" fontId="16" fillId="35" borderId="0" xfId="39" applyFont="1" applyFill="1" applyAlignment="1">
      <alignment horizontal="center"/>
    </xf>
    <xf numFmtId="0" fontId="101" fillId="35" borderId="0" xfId="39" applyFont="1" applyFill="1"/>
    <xf numFmtId="0" fontId="102" fillId="35" borderId="0" xfId="39" applyFont="1" applyFill="1" applyAlignment="1">
      <alignment horizontal="center" vertical="center" readingOrder="2"/>
    </xf>
    <xf numFmtId="0" fontId="14" fillId="35" borderId="0" xfId="39" applyFont="1" applyFill="1" applyAlignment="1">
      <alignment horizontal="center" vertical="center"/>
    </xf>
    <xf numFmtId="0" fontId="14" fillId="35" borderId="0" xfId="39" applyFont="1" applyFill="1"/>
    <xf numFmtId="0" fontId="87" fillId="35" borderId="103" xfId="0" applyFont="1" applyFill="1" applyBorder="1" applyAlignment="1" applyProtection="1">
      <alignment horizontal="right" wrapText="1"/>
      <protection locked="0"/>
    </xf>
    <xf numFmtId="166" fontId="87" fillId="35" borderId="64" xfId="0" applyNumberFormat="1" applyFont="1" applyFill="1" applyBorder="1" applyAlignment="1" applyProtection="1">
      <alignment horizontal="center"/>
      <protection locked="0"/>
    </xf>
    <xf numFmtId="166" fontId="88" fillId="35" borderId="65" xfId="0" applyNumberFormat="1" applyFont="1" applyFill="1" applyBorder="1" applyAlignment="1" applyProtection="1">
      <alignment horizontal="center"/>
      <protection locked="0"/>
    </xf>
    <xf numFmtId="166" fontId="88" fillId="35" borderId="66" xfId="0" applyNumberFormat="1" applyFont="1" applyFill="1" applyBorder="1" applyAlignment="1" applyProtection="1">
      <alignment horizontal="center"/>
      <protection locked="0"/>
    </xf>
    <xf numFmtId="165" fontId="91" fillId="35" borderId="66" xfId="0" applyNumberFormat="1" applyFont="1" applyFill="1" applyBorder="1" applyAlignment="1" applyProtection="1">
      <alignment horizontal="right" wrapText="1"/>
      <protection locked="0"/>
    </xf>
    <xf numFmtId="2" fontId="87" fillId="40" borderId="65" xfId="0" applyNumberFormat="1" applyFont="1" applyFill="1" applyBorder="1" applyAlignment="1" applyProtection="1">
      <alignment horizontal="center"/>
      <protection locked="0"/>
    </xf>
    <xf numFmtId="2" fontId="87" fillId="40" borderId="66" xfId="0" applyNumberFormat="1" applyFont="1" applyFill="1" applyBorder="1" applyAlignment="1" applyProtection="1">
      <alignment horizontal="center"/>
      <protection locked="0"/>
    </xf>
    <xf numFmtId="2" fontId="87" fillId="42" borderId="104" xfId="0" applyNumberFormat="1" applyFont="1" applyFill="1" applyBorder="1" applyAlignment="1" applyProtection="1">
      <alignment horizontal="center"/>
      <protection locked="0"/>
    </xf>
    <xf numFmtId="2" fontId="87" fillId="35" borderId="66" xfId="0" applyNumberFormat="1" applyFont="1" applyFill="1" applyBorder="1" applyAlignment="1" applyProtection="1">
      <alignment horizontal="center"/>
      <protection locked="0"/>
    </xf>
    <xf numFmtId="165" fontId="89" fillId="35" borderId="65" xfId="0" applyNumberFormat="1" applyFont="1" applyFill="1" applyBorder="1" applyAlignment="1" applyProtection="1">
      <alignment horizontal="center"/>
      <protection locked="0"/>
    </xf>
    <xf numFmtId="3" fontId="90" fillId="35" borderId="66" xfId="0" applyNumberFormat="1" applyFont="1" applyFill="1" applyBorder="1" applyAlignment="1" applyProtection="1">
      <alignment horizontal="center"/>
      <protection locked="0"/>
    </xf>
    <xf numFmtId="3" fontId="91" fillId="35" borderId="66" xfId="0" applyNumberFormat="1" applyFont="1" applyFill="1" applyBorder="1" applyAlignment="1" applyProtection="1">
      <alignment horizontal="center"/>
      <protection locked="0"/>
    </xf>
    <xf numFmtId="3" fontId="91" fillId="35" borderId="105" xfId="0" applyNumberFormat="1" applyFont="1" applyFill="1" applyBorder="1" applyAlignment="1" applyProtection="1">
      <alignment horizontal="center"/>
      <protection locked="0"/>
    </xf>
    <xf numFmtId="165" fontId="91" fillId="35" borderId="11" xfId="0" quotePrefix="1" applyNumberFormat="1" applyFont="1" applyFill="1" applyBorder="1" applyAlignment="1" applyProtection="1">
      <alignment horizontal="right" wrapText="1" readingOrder="2"/>
      <protection locked="0"/>
    </xf>
    <xf numFmtId="2" fontId="87" fillId="35" borderId="75" xfId="0" applyNumberFormat="1" applyFont="1" applyFill="1" applyBorder="1" applyAlignment="1" applyProtection="1">
      <alignment horizontal="center"/>
      <protection locked="0"/>
    </xf>
    <xf numFmtId="0" fontId="20" fillId="35" borderId="106" xfId="0" applyFont="1" applyFill="1" applyBorder="1" applyAlignment="1">
      <alignment horizontal="center" vertical="center"/>
    </xf>
    <xf numFmtId="0" fontId="20" fillId="35" borderId="1" xfId="0" applyFont="1" applyFill="1" applyBorder="1" applyAlignment="1">
      <alignment horizontal="center" vertical="center"/>
    </xf>
    <xf numFmtId="0" fontId="9" fillId="35" borderId="82" xfId="0" applyFont="1" applyFill="1" applyBorder="1" applyAlignment="1">
      <alignment horizontal="right" vertical="center"/>
    </xf>
    <xf numFmtId="3" fontId="8" fillId="35" borderId="6" xfId="0" applyNumberFormat="1" applyFont="1" applyFill="1" applyBorder="1" applyAlignment="1">
      <alignment horizontal="center" vertical="center"/>
    </xf>
    <xf numFmtId="3" fontId="9" fillId="35" borderId="0" xfId="0" applyNumberFormat="1" applyFont="1" applyFill="1"/>
    <xf numFmtId="0" fontId="69" fillId="35" borderId="0" xfId="0" applyFont="1" applyFill="1" applyAlignment="1">
      <alignment wrapText="1"/>
    </xf>
    <xf numFmtId="0" fontId="69" fillId="35" borderId="0" xfId="0" applyFont="1" applyFill="1"/>
    <xf numFmtId="174" fontId="52" fillId="35" borderId="0" xfId="0" applyNumberFormat="1" applyFont="1" applyFill="1" applyAlignment="1">
      <alignment horizontal="center"/>
    </xf>
    <xf numFmtId="4" fontId="56" fillId="35" borderId="0" xfId="0" applyNumberFormat="1" applyFont="1" applyFill="1"/>
    <xf numFmtId="3" fontId="56" fillId="35" borderId="0" xfId="0" applyNumberFormat="1" applyFont="1" applyFill="1"/>
    <xf numFmtId="174" fontId="56" fillId="35" borderId="0" xfId="0" applyNumberFormat="1" applyFont="1" applyFill="1"/>
    <xf numFmtId="3" fontId="20" fillId="35" borderId="0" xfId="0" applyNumberFormat="1" applyFont="1" applyFill="1"/>
    <xf numFmtId="0" fontId="19" fillId="35" borderId="0" xfId="0" applyFont="1" applyFill="1"/>
    <xf numFmtId="0" fontId="53" fillId="35" borderId="0" xfId="0" applyFont="1" applyFill="1" applyAlignment="1">
      <alignment horizontal="center" vertical="center"/>
    </xf>
    <xf numFmtId="0" fontId="53" fillId="35" borderId="0" xfId="0" applyFont="1" applyFill="1" applyBorder="1" applyAlignment="1">
      <alignment horizontal="center" vertical="center"/>
    </xf>
    <xf numFmtId="170" fontId="9" fillId="35" borderId="0" xfId="37" applyNumberFormat="1" applyFont="1" applyFill="1" applyAlignment="1">
      <alignment horizontal="center"/>
    </xf>
    <xf numFmtId="170" fontId="24" fillId="35" borderId="0" xfId="37" applyNumberFormat="1" applyFont="1" applyFill="1" applyBorder="1" applyAlignment="1">
      <alignment vertical="center"/>
    </xf>
    <xf numFmtId="0" fontId="57" fillId="35" borderId="0" xfId="0" applyFont="1" applyFill="1"/>
    <xf numFmtId="0" fontId="57" fillId="35" borderId="0" xfId="0" applyFont="1" applyFill="1" applyBorder="1"/>
    <xf numFmtId="0" fontId="57" fillId="35" borderId="0" xfId="0" applyFont="1" applyFill="1" applyAlignment="1">
      <alignment wrapText="1"/>
    </xf>
    <xf numFmtId="0" fontId="57" fillId="35" borderId="0" xfId="0" applyFont="1" applyFill="1" applyAlignment="1"/>
    <xf numFmtId="172" fontId="55" fillId="35" borderId="0" xfId="0" applyNumberFormat="1" applyFont="1" applyFill="1" applyBorder="1" applyAlignment="1">
      <alignment horizontal="center"/>
    </xf>
    <xf numFmtId="3" fontId="55" fillId="35" borderId="0" xfId="0" applyNumberFormat="1" applyFont="1" applyFill="1" applyBorder="1" applyAlignment="1">
      <alignment horizontal="center"/>
    </xf>
    <xf numFmtId="0" fontId="55" fillId="35" borderId="0" xfId="0" applyFont="1" applyFill="1" applyBorder="1" applyAlignment="1">
      <alignment horizontal="center"/>
    </xf>
    <xf numFmtId="0" fontId="29" fillId="35" borderId="0" xfId="39" applyFont="1" applyFill="1" applyBorder="1" applyAlignment="1">
      <alignment horizontal="center" vertical="center"/>
    </xf>
    <xf numFmtId="49" fontId="29" fillId="35" borderId="0" xfId="39" applyNumberFormat="1" applyFont="1" applyFill="1" applyBorder="1" applyAlignment="1" applyProtection="1">
      <alignment horizontal="center" vertical="center" wrapText="1"/>
    </xf>
    <xf numFmtId="0" fontId="19" fillId="35" borderId="0" xfId="39" applyFont="1" applyFill="1" applyBorder="1" applyAlignment="1">
      <alignment horizontal="center"/>
    </xf>
    <xf numFmtId="3" fontId="8" fillId="35" borderId="0" xfId="39" applyNumberFormat="1" applyFont="1" applyFill="1"/>
    <xf numFmtId="0" fontId="9" fillId="35" borderId="0" xfId="39" applyFont="1" applyFill="1" applyAlignment="1">
      <alignment horizontal="center"/>
    </xf>
    <xf numFmtId="0" fontId="8" fillId="0" borderId="0" xfId="39" applyFont="1" applyFill="1"/>
    <xf numFmtId="0" fontId="8" fillId="0" borderId="0" xfId="39" applyFont="1" applyFill="1" applyAlignment="1">
      <alignment wrapText="1"/>
    </xf>
    <xf numFmtId="0" fontId="8" fillId="35" borderId="0" xfId="39" applyFont="1" applyFill="1"/>
    <xf numFmtId="0" fontId="58" fillId="0" borderId="47" xfId="0" applyFont="1" applyFill="1" applyBorder="1" applyAlignment="1" applyProtection="1">
      <alignment horizontal="right" wrapText="1"/>
      <protection locked="0"/>
    </xf>
    <xf numFmtId="166" fontId="56" fillId="0" borderId="19" xfId="0" applyNumberFormat="1" applyFont="1" applyFill="1" applyBorder="1" applyAlignment="1" applyProtection="1">
      <alignment horizontal="center"/>
      <protection locked="0"/>
    </xf>
    <xf numFmtId="166" fontId="56" fillId="0" borderId="2" xfId="0" applyNumberFormat="1" applyFont="1" applyFill="1" applyBorder="1" applyAlignment="1" applyProtection="1">
      <alignment horizontal="center"/>
      <protection locked="0"/>
    </xf>
    <xf numFmtId="165" fontId="55" fillId="0" borderId="2" xfId="0" applyNumberFormat="1" applyFont="1" applyFill="1" applyBorder="1" applyAlignment="1" applyProtection="1">
      <alignment horizontal="right" wrapText="1"/>
      <protection locked="0"/>
    </xf>
    <xf numFmtId="2" fontId="58" fillId="0" borderId="67" xfId="0" applyNumberFormat="1" applyFont="1" applyFill="1" applyBorder="1" applyAlignment="1" applyProtection="1">
      <alignment horizontal="center"/>
      <protection locked="0"/>
    </xf>
    <xf numFmtId="165" fontId="61" fillId="0" borderId="19" xfId="0" applyNumberFormat="1" applyFont="1" applyFill="1" applyBorder="1" applyAlignment="1" applyProtection="1">
      <alignment horizontal="center"/>
      <protection locked="0"/>
    </xf>
    <xf numFmtId="3" fontId="55" fillId="0" borderId="2" xfId="37" applyNumberFormat="1" applyFont="1" applyFill="1" applyBorder="1" applyAlignment="1" applyProtection="1">
      <alignment horizontal="center"/>
      <protection locked="0"/>
    </xf>
    <xf numFmtId="3" fontId="57" fillId="0" borderId="2" xfId="0" applyNumberFormat="1" applyFont="1" applyFill="1" applyBorder="1" applyAlignment="1" applyProtection="1">
      <alignment horizontal="center"/>
      <protection locked="0"/>
    </xf>
    <xf numFmtId="3" fontId="57" fillId="0" borderId="28" xfId="0" applyNumberFormat="1" applyFont="1" applyFill="1" applyBorder="1" applyAlignment="1" applyProtection="1">
      <alignment horizontal="center"/>
      <protection locked="0"/>
    </xf>
    <xf numFmtId="166" fontId="56" fillId="0" borderId="67" xfId="0" applyNumberFormat="1" applyFont="1" applyFill="1" applyBorder="1" applyAlignment="1" applyProtection="1">
      <alignment horizontal="center"/>
      <protection locked="0"/>
    </xf>
    <xf numFmtId="3" fontId="55" fillId="0" borderId="2" xfId="0" applyNumberFormat="1" applyFont="1" applyFill="1" applyBorder="1" applyAlignment="1" applyProtection="1">
      <alignment horizontal="center"/>
      <protection locked="0"/>
    </xf>
    <xf numFmtId="0" fontId="58" fillId="0" borderId="107" xfId="0" applyFont="1" applyFill="1" applyBorder="1" applyAlignment="1" applyProtection="1">
      <alignment horizontal="right" wrapText="1"/>
      <protection locked="0"/>
    </xf>
    <xf numFmtId="0" fontId="52" fillId="0" borderId="108" xfId="0" applyFont="1" applyFill="1" applyBorder="1" applyAlignment="1" applyProtection="1">
      <alignment horizontal="center"/>
    </xf>
    <xf numFmtId="49" fontId="52" fillId="0" borderId="3" xfId="0" applyNumberFormat="1" applyFont="1" applyFill="1" applyBorder="1" applyAlignment="1" applyProtection="1">
      <alignment horizontal="left"/>
    </xf>
    <xf numFmtId="0" fontId="53" fillId="0" borderId="3" xfId="0" applyFont="1" applyFill="1" applyBorder="1" applyAlignment="1">
      <alignment wrapText="1"/>
    </xf>
    <xf numFmtId="2" fontId="51" fillId="0" borderId="83" xfId="0" applyNumberFormat="1" applyFont="1" applyFill="1" applyBorder="1" applyAlignment="1" applyProtection="1">
      <alignment horizontal="center"/>
    </xf>
    <xf numFmtId="165" fontId="62" fillId="0" borderId="108" xfId="0" applyNumberFormat="1" applyFont="1" applyFill="1" applyBorder="1" applyAlignment="1" applyProtection="1">
      <alignment horizontal="center"/>
    </xf>
    <xf numFmtId="3" fontId="53" fillId="0" borderId="3" xfId="0" applyNumberFormat="1" applyFont="1" applyFill="1" applyBorder="1" applyAlignment="1" applyProtection="1">
      <alignment horizontal="center"/>
    </xf>
    <xf numFmtId="3" fontId="54" fillId="0" borderId="3" xfId="0" applyNumberFormat="1" applyFont="1" applyFill="1" applyBorder="1" applyAlignment="1" applyProtection="1">
      <alignment horizontal="center"/>
    </xf>
    <xf numFmtId="3" fontId="54" fillId="0" borderId="37" xfId="0" applyNumberFormat="1" applyFont="1" applyFill="1" applyBorder="1" applyAlignment="1" applyProtection="1">
      <alignment horizontal="center"/>
    </xf>
    <xf numFmtId="3" fontId="57" fillId="35" borderId="0" xfId="0" applyNumberFormat="1" applyFont="1" applyFill="1"/>
    <xf numFmtId="0" fontId="53" fillId="48" borderId="0" xfId="0" applyFont="1" applyFill="1" applyBorder="1" applyAlignment="1">
      <alignment horizontal="center"/>
    </xf>
    <xf numFmtId="0" fontId="53" fillId="49" borderId="0" xfId="0" applyFont="1" applyFill="1" applyBorder="1" applyAlignment="1">
      <alignment horizontal="center"/>
    </xf>
    <xf numFmtId="0" fontId="53" fillId="50" borderId="0" xfId="0" applyFont="1" applyFill="1" applyBorder="1" applyAlignment="1">
      <alignment horizontal="center"/>
    </xf>
    <xf numFmtId="49" fontId="59" fillId="50" borderId="0" xfId="0" applyNumberFormat="1" applyFont="1" applyFill="1" applyBorder="1" applyAlignment="1" applyProtection="1">
      <alignment horizontal="center" wrapText="1"/>
    </xf>
    <xf numFmtId="0" fontId="53" fillId="50" borderId="0" xfId="0" applyFont="1" applyFill="1" applyBorder="1" applyAlignment="1">
      <alignment horizontal="center" wrapText="1"/>
    </xf>
    <xf numFmtId="3" fontId="53" fillId="35" borderId="0" xfId="0" applyNumberFormat="1" applyFont="1" applyFill="1" applyBorder="1" applyAlignment="1" applyProtection="1">
      <alignment horizontal="center"/>
    </xf>
    <xf numFmtId="3" fontId="57" fillId="35" borderId="0" xfId="0" applyNumberFormat="1" applyFont="1" applyFill="1" applyBorder="1"/>
    <xf numFmtId="3" fontId="55" fillId="35" borderId="0" xfId="0" applyNumberFormat="1" applyFont="1" applyFill="1" applyBorder="1" applyAlignment="1" applyProtection="1">
      <alignment horizontal="center"/>
      <protection locked="0"/>
    </xf>
    <xf numFmtId="3" fontId="55" fillId="35" borderId="0" xfId="37" applyNumberFormat="1" applyFont="1" applyFill="1" applyBorder="1" applyAlignment="1" applyProtection="1">
      <alignment horizontal="center"/>
      <protection locked="0"/>
    </xf>
    <xf numFmtId="3" fontId="55" fillId="35" borderId="0" xfId="0" applyNumberFormat="1" applyFont="1" applyFill="1" applyBorder="1" applyAlignment="1" applyProtection="1">
      <alignment horizontal="center"/>
    </xf>
    <xf numFmtId="3" fontId="53" fillId="35" borderId="0" xfId="0" applyNumberFormat="1" applyFont="1" applyFill="1" applyBorder="1" applyAlignment="1" applyProtection="1">
      <alignment horizontal="center"/>
      <protection locked="0"/>
    </xf>
    <xf numFmtId="3" fontId="55" fillId="35" borderId="0" xfId="0" applyNumberFormat="1" applyFont="1" applyFill="1" applyBorder="1" applyAlignment="1" applyProtection="1">
      <alignment horizontal="center" wrapText="1"/>
      <protection locked="0"/>
    </xf>
    <xf numFmtId="0" fontId="57" fillId="35" borderId="0" xfId="0" applyFont="1" applyFill="1" applyBorder="1" applyAlignment="1">
      <alignment wrapText="1"/>
    </xf>
    <xf numFmtId="0" fontId="57" fillId="35" borderId="0" xfId="0" applyFont="1" applyFill="1" applyBorder="1" applyAlignment="1"/>
    <xf numFmtId="3" fontId="59" fillId="35" borderId="0" xfId="0" applyNumberFormat="1" applyFont="1" applyFill="1" applyBorder="1" applyAlignment="1" applyProtection="1">
      <alignment horizontal="center"/>
      <protection locked="0"/>
    </xf>
    <xf numFmtId="4" fontId="55" fillId="35" borderId="0" xfId="0" applyNumberFormat="1" applyFont="1" applyFill="1" applyBorder="1" applyAlignment="1">
      <alignment horizontal="center"/>
    </xf>
    <xf numFmtId="0" fontId="29" fillId="49" borderId="0" xfId="0" applyFont="1" applyFill="1" applyAlignment="1">
      <alignment horizontal="center" vertical="center"/>
    </xf>
    <xf numFmtId="0" fontId="8" fillId="49" borderId="0" xfId="39" applyFont="1" applyFill="1" applyAlignment="1">
      <alignment wrapText="1"/>
    </xf>
    <xf numFmtId="0" fontId="29" fillId="49" borderId="0" xfId="0" applyFont="1" applyFill="1" applyAlignment="1">
      <alignment horizontal="center" vertical="center" wrapText="1"/>
    </xf>
    <xf numFmtId="0" fontId="29" fillId="50" borderId="0" xfId="0" applyFont="1" applyFill="1" applyAlignment="1">
      <alignment horizontal="center" vertical="center"/>
    </xf>
    <xf numFmtId="0" fontId="29" fillId="50" borderId="0" xfId="0" applyFont="1" applyFill="1" applyAlignment="1">
      <alignment horizontal="center" vertical="center" wrapText="1"/>
    </xf>
    <xf numFmtId="3" fontId="55" fillId="0" borderId="0" xfId="39" applyNumberFormat="1" applyFont="1" applyFill="1"/>
    <xf numFmtId="0" fontId="8" fillId="35" borderId="0" xfId="38" applyFont="1" applyFill="1"/>
    <xf numFmtId="0" fontId="8" fillId="35" borderId="0" xfId="38" applyFont="1" applyFill="1" applyAlignment="1">
      <alignment wrapText="1"/>
    </xf>
    <xf numFmtId="0" fontId="53" fillId="48" borderId="0" xfId="38" applyFont="1" applyFill="1"/>
    <xf numFmtId="0" fontId="53" fillId="48" borderId="0" xfId="38" applyFont="1" applyFill="1" applyAlignment="1">
      <alignment wrapText="1"/>
    </xf>
    <xf numFmtId="0" fontId="55" fillId="35" borderId="0" xfId="38" applyFont="1" applyFill="1"/>
    <xf numFmtId="166" fontId="58" fillId="0" borderId="50" xfId="0" applyNumberFormat="1" applyFont="1" applyFill="1" applyBorder="1" applyAlignment="1" applyProtection="1">
      <alignment horizontal="center"/>
      <protection locked="0"/>
    </xf>
    <xf numFmtId="166" fontId="58" fillId="0" borderId="25" xfId="0" applyNumberFormat="1" applyFont="1" applyFill="1" applyBorder="1" applyAlignment="1" applyProtection="1">
      <alignment horizontal="center"/>
      <protection locked="0"/>
    </xf>
    <xf numFmtId="166" fontId="58" fillId="0" borderId="109" xfId="0" applyNumberFormat="1" applyFont="1" applyFill="1" applyBorder="1" applyAlignment="1" applyProtection="1">
      <alignment horizontal="center"/>
      <protection locked="0"/>
    </xf>
    <xf numFmtId="0" fontId="57" fillId="48" borderId="0" xfId="0" applyFont="1" applyFill="1" applyBorder="1"/>
    <xf numFmtId="0" fontId="53" fillId="0" borderId="0" xfId="0" applyFont="1" applyFill="1" applyAlignment="1">
      <alignment horizontal="center" vertical="center"/>
    </xf>
    <xf numFmtId="0" fontId="53" fillId="0" borderId="110" xfId="0" applyFont="1" applyFill="1" applyBorder="1" applyAlignment="1" applyProtection="1">
      <alignment vertical="center" wrapText="1"/>
    </xf>
    <xf numFmtId="0" fontId="53" fillId="0" borderId="23" xfId="0" applyFont="1" applyFill="1" applyBorder="1" applyAlignment="1" applyProtection="1">
      <alignment horizontal="center" vertical="center"/>
    </xf>
    <xf numFmtId="0" fontId="53" fillId="0" borderId="70" xfId="0" applyFont="1" applyFill="1" applyBorder="1" applyAlignment="1" applyProtection="1">
      <alignment vertical="center"/>
    </xf>
    <xf numFmtId="0" fontId="53" fillId="0" borderId="71" xfId="0" applyFont="1" applyFill="1" applyBorder="1" applyAlignment="1" applyProtection="1">
      <alignment vertical="center"/>
    </xf>
    <xf numFmtId="0" fontId="59" fillId="0" borderId="10" xfId="0" applyFont="1" applyFill="1" applyBorder="1" applyAlignment="1">
      <alignment horizontal="center" vertical="center" wrapText="1"/>
    </xf>
    <xf numFmtId="2" fontId="64" fillId="0" borderId="72" xfId="0" quotePrefix="1" applyNumberFormat="1" applyFont="1" applyFill="1" applyBorder="1" applyAlignment="1">
      <alignment horizontal="center" vertical="center"/>
    </xf>
    <xf numFmtId="0" fontId="53" fillId="0" borderId="70" xfId="0" applyFont="1" applyFill="1" applyBorder="1" applyAlignment="1">
      <alignment horizontal="center" vertical="center"/>
    </xf>
    <xf numFmtId="0" fontId="53" fillId="0" borderId="10" xfId="0" applyFont="1" applyFill="1" applyBorder="1" applyAlignment="1">
      <alignment horizontal="center" vertical="center"/>
    </xf>
    <xf numFmtId="0" fontId="53" fillId="0" borderId="26" xfId="0" applyFont="1" applyFill="1" applyBorder="1" applyAlignment="1">
      <alignment horizontal="center" vertical="center"/>
    </xf>
    <xf numFmtId="0" fontId="53" fillId="0" borderId="0" xfId="39" applyFont="1" applyFill="1" applyBorder="1" applyAlignment="1">
      <alignment horizontal="center" vertical="center"/>
    </xf>
    <xf numFmtId="0" fontId="53" fillId="0" borderId="0" xfId="0" applyFont="1" applyFill="1" applyBorder="1" applyAlignment="1">
      <alignment horizontal="center" vertical="center"/>
    </xf>
    <xf numFmtId="0" fontId="53" fillId="0" borderId="49" xfId="0" applyFont="1" applyFill="1" applyBorder="1" applyAlignment="1" applyProtection="1">
      <alignment vertical="center" wrapText="1"/>
    </xf>
    <xf numFmtId="0" fontId="53" fillId="0" borderId="24" xfId="0" applyFont="1" applyFill="1" applyBorder="1" applyAlignment="1" applyProtection="1">
      <alignment horizontal="center" vertical="center"/>
    </xf>
    <xf numFmtId="0" fontId="53" fillId="0" borderId="73" xfId="0" applyFont="1" applyFill="1" applyBorder="1" applyAlignment="1" applyProtection="1">
      <alignment vertical="center"/>
    </xf>
    <xf numFmtId="0" fontId="53" fillId="0" borderId="74" xfId="0" applyFont="1" applyFill="1" applyBorder="1" applyAlignment="1" applyProtection="1">
      <alignment vertical="center"/>
    </xf>
    <xf numFmtId="0" fontId="59" fillId="0" borderId="11" xfId="0" applyFont="1" applyFill="1" applyBorder="1" applyAlignment="1">
      <alignment horizontal="center" vertical="center" wrapText="1"/>
    </xf>
    <xf numFmtId="2" fontId="54" fillId="0" borderId="75" xfId="0" applyNumberFormat="1" applyFont="1" applyFill="1" applyBorder="1" applyAlignment="1">
      <alignment horizontal="center" vertical="center"/>
    </xf>
    <xf numFmtId="0" fontId="59" fillId="0" borderId="73" xfId="0" applyFont="1" applyFill="1" applyBorder="1" applyAlignment="1">
      <alignment horizontal="center" vertical="center"/>
    </xf>
    <xf numFmtId="49" fontId="59" fillId="0" borderId="11" xfId="0" applyNumberFormat="1" applyFont="1" applyFill="1" applyBorder="1" applyAlignment="1" applyProtection="1">
      <alignment horizontal="center" vertical="center" wrapText="1"/>
    </xf>
    <xf numFmtId="49" fontId="53" fillId="0" borderId="11" xfId="0" applyNumberFormat="1" applyFont="1" applyFill="1" applyBorder="1" applyAlignment="1">
      <alignment horizontal="center" vertical="center" wrapText="1"/>
    </xf>
    <xf numFmtId="49" fontId="53" fillId="0" borderId="11" xfId="0" applyNumberFormat="1" applyFont="1" applyFill="1" applyBorder="1" applyAlignment="1" applyProtection="1">
      <alignment horizontal="center" vertical="center" wrapText="1"/>
    </xf>
    <xf numFmtId="49" fontId="53" fillId="0" borderId="27" xfId="0" applyNumberFormat="1" applyFont="1" applyFill="1" applyBorder="1" applyAlignment="1" applyProtection="1">
      <alignment horizontal="center" vertical="center" wrapText="1"/>
    </xf>
    <xf numFmtId="49" fontId="53" fillId="0" borderId="0" xfId="39" applyNumberFormat="1" applyFont="1" applyFill="1" applyBorder="1" applyAlignment="1" applyProtection="1">
      <alignment horizontal="center" vertical="center" wrapText="1"/>
    </xf>
    <xf numFmtId="0" fontId="57" fillId="0" borderId="0" xfId="0" applyFont="1" applyFill="1"/>
    <xf numFmtId="0" fontId="58" fillId="0" borderId="111" xfId="0" applyFont="1" applyFill="1" applyBorder="1" applyAlignment="1">
      <alignment wrapText="1"/>
    </xf>
    <xf numFmtId="166" fontId="58" fillId="0" borderId="106" xfId="0" applyNumberFormat="1" applyFont="1" applyFill="1" applyBorder="1" applyAlignment="1" applyProtection="1">
      <alignment horizontal="center"/>
      <protection locked="0"/>
    </xf>
    <xf numFmtId="0" fontId="52" fillId="0" borderId="112" xfId="0" applyFont="1" applyFill="1" applyBorder="1" applyAlignment="1" applyProtection="1">
      <alignment horizontal="center" vertical="center"/>
    </xf>
    <xf numFmtId="49" fontId="54" fillId="0" borderId="1" xfId="0" applyNumberFormat="1" applyFont="1" applyFill="1" applyBorder="1" applyAlignment="1" applyProtection="1">
      <alignment horizontal="left"/>
    </xf>
    <xf numFmtId="0" fontId="59" fillId="0" borderId="1" xfId="0" applyFont="1" applyFill="1" applyBorder="1" applyAlignment="1">
      <alignment wrapText="1"/>
    </xf>
    <xf numFmtId="2" fontId="60" fillId="0" borderId="82" xfId="0" applyNumberFormat="1" applyFont="1" applyFill="1" applyBorder="1" applyAlignment="1">
      <alignment horizontal="center"/>
    </xf>
    <xf numFmtId="0" fontId="61" fillId="0" borderId="70" xfId="0" applyFont="1" applyFill="1" applyBorder="1" applyAlignment="1">
      <alignment horizontal="center"/>
    </xf>
    <xf numFmtId="3" fontId="53" fillId="0" borderId="1" xfId="0" applyNumberFormat="1" applyFont="1" applyFill="1" applyBorder="1" applyAlignment="1" applyProtection="1">
      <alignment horizontal="center"/>
    </xf>
    <xf numFmtId="0" fontId="54" fillId="0" borderId="1" xfId="0" applyFont="1" applyFill="1" applyBorder="1" applyAlignment="1" applyProtection="1">
      <alignment horizontal="center"/>
    </xf>
    <xf numFmtId="3" fontId="51" fillId="0" borderId="1" xfId="0" applyNumberFormat="1" applyFont="1" applyFill="1" applyBorder="1" applyAlignment="1" applyProtection="1">
      <alignment horizontal="center" wrapText="1"/>
    </xf>
    <xf numFmtId="3" fontId="54" fillId="0" borderId="1" xfId="0" applyNumberFormat="1" applyFont="1" applyFill="1" applyBorder="1" applyAlignment="1" applyProtection="1">
      <alignment horizontal="center"/>
    </xf>
    <xf numFmtId="0" fontId="54" fillId="0" borderId="36" xfId="0" applyFont="1" applyFill="1" applyBorder="1" applyAlignment="1" applyProtection="1">
      <alignment horizontal="center"/>
    </xf>
    <xf numFmtId="49" fontId="52" fillId="0" borderId="1" xfId="0" applyNumberFormat="1" applyFont="1" applyFill="1" applyBorder="1" applyAlignment="1" applyProtection="1">
      <alignment horizontal="left"/>
    </xf>
    <xf numFmtId="0" fontId="61" fillId="0" borderId="112" xfId="0" applyFont="1" applyFill="1" applyBorder="1" applyAlignment="1">
      <alignment horizontal="center"/>
    </xf>
    <xf numFmtId="3" fontId="54" fillId="0" borderId="1" xfId="0" applyNumberFormat="1" applyFont="1" applyFill="1" applyBorder="1" applyAlignment="1">
      <alignment horizontal="center"/>
    </xf>
    <xf numFmtId="165" fontId="54" fillId="0" borderId="36" xfId="0" applyNumberFormat="1" applyFont="1" applyFill="1" applyBorder="1" applyAlignment="1" applyProtection="1">
      <alignment horizontal="center"/>
    </xf>
    <xf numFmtId="0" fontId="54" fillId="0" borderId="0" xfId="39" applyFont="1" applyFill="1" applyBorder="1" applyAlignment="1">
      <alignment horizontal="center"/>
    </xf>
    <xf numFmtId="165" fontId="54" fillId="0" borderId="1" xfId="0" applyNumberFormat="1" applyFont="1" applyFill="1" applyBorder="1" applyAlignment="1" applyProtection="1">
      <alignment horizontal="center"/>
    </xf>
    <xf numFmtId="165" fontId="55" fillId="0" borderId="2" xfId="0" quotePrefix="1" applyNumberFormat="1" applyFont="1" applyFill="1" applyBorder="1" applyAlignment="1" applyProtection="1">
      <alignment horizontal="right" wrapText="1" readingOrder="2"/>
      <protection locked="0"/>
    </xf>
    <xf numFmtId="0" fontId="61" fillId="0" borderId="19" xfId="0" applyFont="1" applyFill="1" applyBorder="1" applyAlignment="1">
      <alignment horizontal="center"/>
    </xf>
    <xf numFmtId="165" fontId="55" fillId="0" borderId="2" xfId="0" applyNumberFormat="1" applyFont="1" applyFill="1" applyBorder="1" applyAlignment="1" applyProtection="1">
      <alignment horizontal="right" wrapText="1" readingOrder="2"/>
      <protection locked="0"/>
    </xf>
    <xf numFmtId="0" fontId="58" fillId="0" borderId="111" xfId="0" applyFont="1" applyFill="1" applyBorder="1" applyAlignment="1" applyProtection="1">
      <alignment horizontal="right" wrapText="1"/>
      <protection locked="0"/>
    </xf>
    <xf numFmtId="0" fontId="52" fillId="0" borderId="112" xfId="0" applyFont="1" applyFill="1" applyBorder="1" applyAlignment="1" applyProtection="1">
      <alignment horizontal="center"/>
    </xf>
    <xf numFmtId="2" fontId="51" fillId="0" borderId="82" xfId="0" applyNumberFormat="1" applyFont="1" applyFill="1" applyBorder="1" applyAlignment="1" applyProtection="1">
      <alignment horizontal="center"/>
    </xf>
    <xf numFmtId="165" fontId="62" fillId="0" borderId="112" xfId="0" applyNumberFormat="1" applyFont="1" applyFill="1" applyBorder="1" applyAlignment="1" applyProtection="1">
      <alignment horizontal="center"/>
    </xf>
    <xf numFmtId="3" fontId="54" fillId="0" borderId="36" xfId="0" applyNumberFormat="1" applyFont="1" applyFill="1" applyBorder="1" applyAlignment="1" applyProtection="1">
      <alignment horizontal="center"/>
    </xf>
    <xf numFmtId="0" fontId="57" fillId="0" borderId="0" xfId="0" applyFont="1" applyFill="1" applyBorder="1"/>
    <xf numFmtId="0" fontId="55" fillId="0" borderId="2" xfId="0" applyFont="1" applyFill="1" applyBorder="1" applyAlignment="1" applyProtection="1">
      <alignment horizontal="right" wrapText="1"/>
    </xf>
    <xf numFmtId="0" fontId="58" fillId="0" borderId="113" xfId="0" applyFont="1" applyFill="1" applyBorder="1" applyAlignment="1" applyProtection="1">
      <alignment horizontal="right" wrapText="1"/>
      <protection locked="0"/>
    </xf>
    <xf numFmtId="166" fontId="58" fillId="0" borderId="86" xfId="0" applyNumberFormat="1" applyFont="1" applyFill="1" applyBorder="1" applyAlignment="1" applyProtection="1">
      <alignment horizontal="center"/>
      <protection locked="0"/>
    </xf>
    <xf numFmtId="0" fontId="52" fillId="0" borderId="114" xfId="0" applyFont="1" applyFill="1" applyBorder="1" applyAlignment="1" applyProtection="1">
      <alignment horizontal="center"/>
    </xf>
    <xf numFmtId="49" fontId="52" fillId="0" borderId="87" xfId="0" applyNumberFormat="1" applyFont="1" applyFill="1" applyBorder="1" applyAlignment="1" applyProtection="1">
      <alignment horizontal="left"/>
    </xf>
    <xf numFmtId="0" fontId="53" fillId="0" borderId="87" xfId="0" applyFont="1" applyFill="1" applyBorder="1" applyAlignment="1">
      <alignment wrapText="1"/>
    </xf>
    <xf numFmtId="2" fontId="51" fillId="0" borderId="88" xfId="0" applyNumberFormat="1" applyFont="1" applyFill="1" applyBorder="1" applyAlignment="1" applyProtection="1">
      <alignment horizontal="center"/>
    </xf>
    <xf numFmtId="165" fontId="62" fillId="0" borderId="114" xfId="0" applyNumberFormat="1" applyFont="1" applyFill="1" applyBorder="1" applyAlignment="1" applyProtection="1">
      <alignment horizontal="center"/>
    </xf>
    <xf numFmtId="3" fontId="53" fillId="0" borderId="87" xfId="0" applyNumberFormat="1" applyFont="1" applyFill="1" applyBorder="1" applyAlignment="1" applyProtection="1">
      <alignment horizontal="center"/>
    </xf>
    <xf numFmtId="3" fontId="54" fillId="0" borderId="87" xfId="0" applyNumberFormat="1" applyFont="1" applyFill="1" applyBorder="1" applyAlignment="1" applyProtection="1">
      <alignment horizontal="center"/>
    </xf>
    <xf numFmtId="3" fontId="54" fillId="0" borderId="90" xfId="0" applyNumberFormat="1" applyFont="1" applyFill="1" applyBorder="1" applyAlignment="1" applyProtection="1">
      <alignment horizontal="center"/>
    </xf>
    <xf numFmtId="0" fontId="53" fillId="0" borderId="87" xfId="0" quotePrefix="1" applyFont="1" applyFill="1" applyBorder="1" applyAlignment="1">
      <alignment horizontal="right" wrapText="1"/>
    </xf>
    <xf numFmtId="165" fontId="61" fillId="0" borderId="19" xfId="0" quotePrefix="1" applyNumberFormat="1" applyFont="1" applyFill="1" applyBorder="1" applyAlignment="1" applyProtection="1">
      <alignment horizontal="center"/>
      <protection locked="0"/>
    </xf>
    <xf numFmtId="0" fontId="62" fillId="0" borderId="112" xfId="0" applyFont="1" applyFill="1" applyBorder="1" applyAlignment="1" applyProtection="1">
      <alignment horizontal="center"/>
    </xf>
    <xf numFmtId="165" fontId="55" fillId="0" borderId="2" xfId="0" quotePrefix="1" applyNumberFormat="1" applyFont="1" applyFill="1" applyBorder="1" applyAlignment="1" applyProtection="1">
      <alignment horizontal="right" wrapText="1"/>
      <protection locked="0"/>
    </xf>
    <xf numFmtId="3" fontId="54" fillId="0" borderId="89" xfId="0" applyNumberFormat="1" applyFont="1" applyFill="1" applyBorder="1" applyAlignment="1" applyProtection="1">
      <alignment horizontal="center"/>
    </xf>
    <xf numFmtId="3" fontId="53" fillId="0" borderId="45" xfId="0" applyNumberFormat="1" applyFont="1" applyFill="1" applyBorder="1" applyAlignment="1" applyProtection="1">
      <alignment horizontal="center"/>
    </xf>
    <xf numFmtId="3" fontId="53" fillId="0" borderId="115" xfId="0" applyNumberFormat="1" applyFont="1" applyFill="1" applyBorder="1" applyAlignment="1" applyProtection="1">
      <alignment horizontal="center"/>
    </xf>
    <xf numFmtId="3" fontId="54" fillId="0" borderId="116" xfId="0" applyNumberFormat="1" applyFont="1" applyFill="1" applyBorder="1" applyAlignment="1" applyProtection="1">
      <alignment horizontal="center"/>
    </xf>
    <xf numFmtId="2" fontId="58" fillId="0" borderId="67" xfId="0" applyNumberFormat="1" applyFont="1" applyFill="1" applyBorder="1" applyAlignment="1" applyProtection="1">
      <alignment horizontal="center"/>
    </xf>
    <xf numFmtId="165" fontId="61" fillId="0" borderId="19" xfId="0" applyNumberFormat="1" applyFont="1" applyFill="1" applyBorder="1" applyAlignment="1" applyProtection="1">
      <alignment horizontal="center"/>
    </xf>
    <xf numFmtId="3" fontId="55" fillId="0" borderId="2" xfId="0" applyNumberFormat="1" applyFont="1" applyFill="1" applyBorder="1" applyAlignment="1" applyProtection="1">
      <alignment horizontal="center"/>
    </xf>
    <xf numFmtId="3" fontId="57" fillId="0" borderId="2" xfId="0" applyNumberFormat="1" applyFont="1" applyFill="1" applyBorder="1" applyAlignment="1" applyProtection="1">
      <alignment horizontal="center"/>
    </xf>
    <xf numFmtId="0" fontId="58" fillId="0" borderId="117" xfId="0" applyFont="1" applyFill="1" applyBorder="1" applyAlignment="1" applyProtection="1">
      <alignment horizontal="right" wrapText="1"/>
      <protection locked="0"/>
    </xf>
    <xf numFmtId="166" fontId="58" fillId="0" borderId="118" xfId="0" applyNumberFormat="1" applyFont="1" applyFill="1" applyBorder="1" applyAlignment="1" applyProtection="1">
      <alignment horizontal="center"/>
      <protection locked="0"/>
    </xf>
    <xf numFmtId="166" fontId="56" fillId="0" borderId="119" xfId="0" applyNumberFormat="1" applyFont="1" applyFill="1" applyBorder="1" applyAlignment="1" applyProtection="1">
      <alignment horizontal="center"/>
      <protection locked="0"/>
    </xf>
    <xf numFmtId="49" fontId="52" fillId="0" borderId="120" xfId="0" applyNumberFormat="1" applyFont="1" applyFill="1" applyBorder="1" applyAlignment="1" applyProtection="1">
      <alignment horizontal="left"/>
    </xf>
    <xf numFmtId="0" fontId="53" fillId="0" borderId="120" xfId="0" applyFont="1" applyFill="1" applyBorder="1" applyAlignment="1">
      <alignment wrapText="1"/>
    </xf>
    <xf numFmtId="2" fontId="51" fillId="0" borderId="58" xfId="0" applyNumberFormat="1" applyFont="1" applyFill="1" applyBorder="1" applyAlignment="1" applyProtection="1">
      <alignment horizontal="center"/>
    </xf>
    <xf numFmtId="165" fontId="62" fillId="0" borderId="119" xfId="0" applyNumberFormat="1" applyFont="1" applyFill="1" applyBorder="1" applyAlignment="1" applyProtection="1">
      <alignment horizontal="center"/>
    </xf>
    <xf numFmtId="3" fontId="53" fillId="0" borderId="120" xfId="0" applyNumberFormat="1" applyFont="1" applyFill="1" applyBorder="1" applyAlignment="1" applyProtection="1">
      <alignment horizontal="center"/>
    </xf>
    <xf numFmtId="3" fontId="54" fillId="0" borderId="120" xfId="0" applyNumberFormat="1" applyFont="1" applyFill="1" applyBorder="1" applyAlignment="1" applyProtection="1">
      <alignment horizontal="center"/>
    </xf>
    <xf numFmtId="3" fontId="54" fillId="0" borderId="121" xfId="0" applyNumberFormat="1" applyFont="1" applyFill="1" applyBorder="1" applyAlignment="1" applyProtection="1">
      <alignment horizontal="center"/>
    </xf>
    <xf numFmtId="165" fontId="61" fillId="0" borderId="114" xfId="0" applyNumberFormat="1" applyFont="1" applyFill="1" applyBorder="1" applyAlignment="1" applyProtection="1">
      <alignment horizontal="center"/>
      <protection locked="0"/>
    </xf>
    <xf numFmtId="3" fontId="53" fillId="0" borderId="87" xfId="0" applyNumberFormat="1" applyFont="1" applyFill="1" applyBorder="1" applyAlignment="1" applyProtection="1">
      <alignment horizontal="center"/>
      <protection locked="0"/>
    </xf>
    <xf numFmtId="3" fontId="54" fillId="0" borderId="87" xfId="0" applyNumberFormat="1" applyFont="1" applyFill="1" applyBorder="1" applyAlignment="1" applyProtection="1">
      <alignment horizontal="center"/>
      <protection locked="0"/>
    </xf>
    <xf numFmtId="3" fontId="54" fillId="0" borderId="90" xfId="0" applyNumberFormat="1" applyFont="1" applyFill="1" applyBorder="1" applyAlignment="1" applyProtection="1">
      <alignment horizontal="center"/>
      <protection locked="0"/>
    </xf>
    <xf numFmtId="0" fontId="58" fillId="0" borderId="107" xfId="0" applyFont="1" applyFill="1" applyBorder="1" applyAlignment="1" applyProtection="1">
      <alignment horizontal="right" wrapText="1"/>
    </xf>
    <xf numFmtId="0" fontId="55" fillId="0" borderId="7" xfId="0" applyFont="1" applyFill="1" applyBorder="1" applyAlignment="1">
      <alignment horizontal="right" wrapText="1"/>
    </xf>
    <xf numFmtId="0" fontId="58" fillId="0" borderId="113" xfId="0" applyFont="1" applyFill="1" applyBorder="1" applyAlignment="1" applyProtection="1">
      <alignment horizontal="right" wrapText="1"/>
    </xf>
    <xf numFmtId="0" fontId="55" fillId="0" borderId="2" xfId="0" applyFont="1" applyFill="1" applyBorder="1" applyAlignment="1" applyProtection="1">
      <alignment horizontal="right" wrapText="1" readingOrder="2"/>
    </xf>
    <xf numFmtId="0" fontId="59" fillId="0" borderId="1" xfId="0" applyFont="1" applyFill="1" applyBorder="1" applyAlignment="1">
      <alignment horizontal="right" wrapText="1"/>
    </xf>
    <xf numFmtId="2" fontId="51" fillId="0" borderId="67" xfId="0" applyNumberFormat="1" applyFont="1" applyFill="1" applyBorder="1" applyAlignment="1" applyProtection="1">
      <alignment horizontal="center"/>
    </xf>
    <xf numFmtId="0" fontId="59" fillId="0" borderId="1" xfId="0" quotePrefix="1" applyFont="1" applyFill="1" applyBorder="1" applyAlignment="1">
      <alignment horizontal="right" wrapText="1"/>
    </xf>
    <xf numFmtId="0" fontId="58" fillId="0" borderId="47" xfId="0" quotePrefix="1" applyFont="1" applyFill="1" applyBorder="1" applyAlignment="1" applyProtection="1">
      <alignment horizontal="right" wrapText="1"/>
      <protection locked="0"/>
    </xf>
    <xf numFmtId="0" fontId="53" fillId="0" borderId="3" xfId="0" quotePrefix="1" applyFont="1" applyFill="1" applyBorder="1" applyAlignment="1">
      <alignment horizontal="right" wrapText="1"/>
    </xf>
    <xf numFmtId="0" fontId="55" fillId="0" borderId="0" xfId="0" applyFont="1" applyFill="1"/>
    <xf numFmtId="166" fontId="58" fillId="0" borderId="52" xfId="0" applyNumberFormat="1" applyFont="1" applyFill="1" applyBorder="1" applyAlignment="1" applyProtection="1">
      <alignment horizontal="center"/>
      <protection locked="0"/>
    </xf>
    <xf numFmtId="166" fontId="56" fillId="0" borderId="77" xfId="0" applyNumberFormat="1" applyFont="1" applyFill="1" applyBorder="1" applyAlignment="1" applyProtection="1">
      <alignment horizontal="center"/>
      <protection locked="0"/>
    </xf>
    <xf numFmtId="3" fontId="54" fillId="0" borderId="4" xfId="0" applyNumberFormat="1" applyFont="1" applyFill="1" applyBorder="1" applyAlignment="1" applyProtection="1">
      <alignment horizontal="center"/>
    </xf>
    <xf numFmtId="3" fontId="54" fillId="0" borderId="6" xfId="0" applyNumberFormat="1" applyFont="1" applyFill="1" applyBorder="1" applyAlignment="1" applyProtection="1">
      <alignment horizontal="center"/>
    </xf>
    <xf numFmtId="3" fontId="57" fillId="0" borderId="7" xfId="0" applyNumberFormat="1" applyFont="1" applyFill="1" applyBorder="1" applyAlignment="1" applyProtection="1">
      <alignment horizontal="center"/>
      <protection locked="0"/>
    </xf>
    <xf numFmtId="3" fontId="57" fillId="0" borderId="7" xfId="37" applyNumberFormat="1" applyFont="1" applyFill="1" applyBorder="1" applyAlignment="1" applyProtection="1">
      <alignment horizontal="center"/>
      <protection locked="0"/>
    </xf>
    <xf numFmtId="3" fontId="62" fillId="0" borderId="108" xfId="0" applyNumberFormat="1" applyFont="1" applyFill="1" applyBorder="1" applyAlignment="1" applyProtection="1">
      <alignment horizontal="center"/>
    </xf>
    <xf numFmtId="3" fontId="54" fillId="0" borderId="8" xfId="0" applyNumberFormat="1" applyFont="1" applyFill="1" applyBorder="1" applyAlignment="1" applyProtection="1">
      <alignment horizontal="center"/>
    </xf>
    <xf numFmtId="3" fontId="53" fillId="0" borderId="122" xfId="0" applyNumberFormat="1" applyFont="1" applyFill="1" applyBorder="1" applyAlignment="1" applyProtection="1">
      <alignment horizontal="center"/>
    </xf>
    <xf numFmtId="3" fontId="54" fillId="0" borderId="123" xfId="0" applyNumberFormat="1" applyFont="1" applyFill="1" applyBorder="1" applyAlignment="1" applyProtection="1">
      <alignment horizontal="center"/>
    </xf>
    <xf numFmtId="3" fontId="53" fillId="0" borderId="124" xfId="0" applyNumberFormat="1" applyFont="1" applyFill="1" applyBorder="1" applyAlignment="1" applyProtection="1">
      <alignment horizontal="center"/>
    </xf>
    <xf numFmtId="3" fontId="54" fillId="0" borderId="43" xfId="0" applyNumberFormat="1" applyFont="1" applyFill="1" applyBorder="1" applyAlignment="1" applyProtection="1">
      <alignment horizontal="center"/>
    </xf>
    <xf numFmtId="3" fontId="54" fillId="0" borderId="89" xfId="0" applyNumberFormat="1" applyFont="1" applyFill="1" applyBorder="1" applyAlignment="1" applyProtection="1">
      <alignment horizontal="center"/>
      <protection locked="0"/>
    </xf>
    <xf numFmtId="3" fontId="53" fillId="0" borderId="122" xfId="0" applyNumberFormat="1" applyFont="1" applyFill="1" applyBorder="1" applyAlignment="1" applyProtection="1">
      <alignment horizontal="center"/>
      <protection locked="0"/>
    </xf>
    <xf numFmtId="3" fontId="54" fillId="0" borderId="123" xfId="0" applyNumberFormat="1" applyFont="1" applyFill="1" applyBorder="1" applyAlignment="1" applyProtection="1">
      <alignment horizontal="center"/>
      <protection locked="0"/>
    </xf>
    <xf numFmtId="0" fontId="58" fillId="0" borderId="117" xfId="0" applyFont="1" applyFill="1" applyBorder="1" applyAlignment="1" applyProtection="1">
      <alignment horizontal="right" wrapText="1"/>
    </xf>
    <xf numFmtId="166" fontId="56" fillId="0" borderId="19" xfId="0" applyNumberFormat="1" applyFont="1" applyFill="1" applyBorder="1" applyAlignment="1" applyProtection="1">
      <alignment horizontal="center"/>
    </xf>
    <xf numFmtId="166" fontId="56" fillId="0" borderId="67" xfId="0" applyNumberFormat="1" applyFont="1" applyFill="1" applyBorder="1" applyAlignment="1" applyProtection="1">
      <alignment horizontal="center"/>
    </xf>
    <xf numFmtId="166" fontId="55" fillId="0" borderId="2" xfId="0" applyNumberFormat="1" applyFont="1" applyFill="1" applyBorder="1" applyAlignment="1" applyProtection="1">
      <alignment horizontal="right" wrapText="1" readingOrder="2"/>
      <protection locked="0"/>
    </xf>
    <xf numFmtId="0" fontId="57" fillId="0" borderId="0" xfId="0" applyFont="1" applyFill="1" applyAlignment="1">
      <alignment wrapText="1"/>
    </xf>
    <xf numFmtId="166" fontId="58" fillId="0" borderId="50" xfId="0" applyNumberFormat="1" applyFont="1" applyFill="1" applyBorder="1" applyAlignment="1" applyProtection="1">
      <alignment horizontal="center" wrapText="1"/>
      <protection locked="0"/>
    </xf>
    <xf numFmtId="166" fontId="56" fillId="0" borderId="19" xfId="0" applyNumberFormat="1" applyFont="1" applyFill="1" applyBorder="1" applyAlignment="1" applyProtection="1">
      <alignment horizontal="center" wrapText="1"/>
      <protection locked="0"/>
    </xf>
    <xf numFmtId="166" fontId="56" fillId="0" borderId="2" xfId="0" applyNumberFormat="1" applyFont="1" applyFill="1" applyBorder="1" applyAlignment="1" applyProtection="1">
      <alignment horizontal="center" wrapText="1"/>
      <protection locked="0"/>
    </xf>
    <xf numFmtId="2" fontId="58" fillId="0" borderId="67" xfId="0" applyNumberFormat="1" applyFont="1" applyFill="1" applyBorder="1" applyAlignment="1" applyProtection="1">
      <alignment horizontal="center" wrapText="1"/>
      <protection locked="0"/>
    </xf>
    <xf numFmtId="165" fontId="61" fillId="0" borderId="19" xfId="0" applyNumberFormat="1" applyFont="1" applyFill="1" applyBorder="1" applyAlignment="1" applyProtection="1">
      <alignment horizontal="center" wrapText="1"/>
      <protection locked="0"/>
    </xf>
    <xf numFmtId="3" fontId="55" fillId="0" borderId="2" xfId="0" applyNumberFormat="1" applyFont="1" applyFill="1" applyBorder="1" applyAlignment="1" applyProtection="1">
      <alignment horizontal="center" wrapText="1"/>
      <protection locked="0"/>
    </xf>
    <xf numFmtId="3" fontId="57" fillId="0" borderId="2" xfId="0" applyNumberFormat="1" applyFont="1" applyFill="1" applyBorder="1" applyAlignment="1" applyProtection="1">
      <alignment horizontal="center" wrapText="1"/>
      <protection locked="0"/>
    </xf>
    <xf numFmtId="3" fontId="57" fillId="0" borderId="28" xfId="0" applyNumberFormat="1" applyFont="1" applyFill="1" applyBorder="1" applyAlignment="1" applyProtection="1">
      <alignment horizontal="center" wrapText="1"/>
      <protection locked="0"/>
    </xf>
    <xf numFmtId="166" fontId="58" fillId="0" borderId="25" xfId="0" applyNumberFormat="1" applyFont="1" applyFill="1" applyBorder="1" applyAlignment="1" applyProtection="1">
      <alignment horizontal="center" wrapText="1"/>
      <protection locked="0"/>
    </xf>
    <xf numFmtId="166" fontId="56" fillId="0" borderId="67" xfId="0" applyNumberFormat="1" applyFont="1" applyFill="1" applyBorder="1" applyAlignment="1" applyProtection="1">
      <alignment horizontal="center" wrapText="1"/>
      <protection locked="0"/>
    </xf>
    <xf numFmtId="3" fontId="55" fillId="0" borderId="0" xfId="39" applyNumberFormat="1" applyFont="1" applyFill="1" applyAlignment="1">
      <alignment wrapText="1"/>
    </xf>
    <xf numFmtId="166" fontId="55" fillId="0" borderId="2" xfId="0" applyNumberFormat="1" applyFont="1" applyFill="1" applyBorder="1" applyAlignment="1" applyProtection="1">
      <alignment horizontal="right" wrapText="1"/>
      <protection locked="0"/>
    </xf>
    <xf numFmtId="0" fontId="58" fillId="0" borderId="125" xfId="0" applyFont="1" applyFill="1" applyBorder="1" applyAlignment="1" applyProtection="1">
      <alignment horizontal="right" wrapText="1"/>
      <protection locked="0"/>
    </xf>
    <xf numFmtId="166" fontId="58" fillId="0" borderId="76" xfId="0" applyNumberFormat="1" applyFont="1" applyFill="1" applyBorder="1" applyAlignment="1" applyProtection="1">
      <alignment horizontal="center"/>
      <protection locked="0"/>
    </xf>
    <xf numFmtId="166" fontId="56" fillId="0" borderId="78" xfId="0" applyNumberFormat="1" applyFont="1" applyFill="1" applyBorder="1" applyAlignment="1" applyProtection="1">
      <alignment horizontal="center"/>
      <protection locked="0"/>
    </xf>
    <xf numFmtId="166" fontId="55" fillId="0" borderId="78" xfId="0" applyNumberFormat="1" applyFont="1" applyFill="1" applyBorder="1" applyAlignment="1" applyProtection="1">
      <alignment horizontal="right" wrapText="1"/>
      <protection locked="0"/>
    </xf>
    <xf numFmtId="2" fontId="58" fillId="0" borderId="79" xfId="0" applyNumberFormat="1" applyFont="1" applyFill="1" applyBorder="1" applyAlignment="1" applyProtection="1">
      <alignment horizontal="center"/>
      <protection locked="0"/>
    </xf>
    <xf numFmtId="164" fontId="62" fillId="0" borderId="114" xfId="37" applyFont="1" applyFill="1" applyBorder="1" applyAlignment="1" applyProtection="1">
      <alignment horizontal="center"/>
    </xf>
    <xf numFmtId="165" fontId="55" fillId="0" borderId="78" xfId="0" applyNumberFormat="1" applyFont="1" applyFill="1" applyBorder="1" applyAlignment="1" applyProtection="1">
      <alignment horizontal="right" wrapText="1" readingOrder="2"/>
      <protection locked="0"/>
    </xf>
    <xf numFmtId="3" fontId="55" fillId="0" borderId="78" xfId="0" applyNumberFormat="1" applyFont="1" applyFill="1" applyBorder="1" applyAlignment="1" applyProtection="1">
      <alignment horizontal="center"/>
      <protection locked="0"/>
    </xf>
    <xf numFmtId="3" fontId="57" fillId="0" borderId="78" xfId="0" applyNumberFormat="1" applyFont="1" applyFill="1" applyBorder="1" applyAlignment="1" applyProtection="1">
      <alignment horizontal="center"/>
      <protection locked="0"/>
    </xf>
    <xf numFmtId="0" fontId="58" fillId="0" borderId="126" xfId="0" applyFont="1" applyFill="1" applyBorder="1" applyAlignment="1" applyProtection="1">
      <alignment horizontal="right" wrapText="1"/>
      <protection locked="0"/>
    </xf>
    <xf numFmtId="166" fontId="58" fillId="0" borderId="127" xfId="0" applyNumberFormat="1" applyFont="1" applyFill="1" applyBorder="1" applyAlignment="1" applyProtection="1">
      <alignment horizontal="center"/>
      <protection locked="0"/>
    </xf>
    <xf numFmtId="0" fontId="52" fillId="0" borderId="128" xfId="0" applyFont="1" applyFill="1" applyBorder="1" applyAlignment="1" applyProtection="1">
      <alignment horizontal="center"/>
    </xf>
    <xf numFmtId="49" fontId="52" fillId="0" borderId="5" xfId="0" applyNumberFormat="1" applyFont="1" applyFill="1" applyBorder="1" applyAlignment="1" applyProtection="1">
      <alignment horizontal="left"/>
    </xf>
    <xf numFmtId="0" fontId="59" fillId="0" borderId="5" xfId="0" applyFont="1" applyFill="1" applyBorder="1" applyAlignment="1">
      <alignment wrapText="1"/>
    </xf>
    <xf numFmtId="2" fontId="51" fillId="0" borderId="129" xfId="0" applyNumberFormat="1" applyFont="1" applyFill="1" applyBorder="1" applyAlignment="1" applyProtection="1">
      <alignment horizontal="center"/>
    </xf>
    <xf numFmtId="165" fontId="62" fillId="0" borderId="128" xfId="0" applyNumberFormat="1" applyFont="1" applyFill="1" applyBorder="1" applyAlignment="1" applyProtection="1">
      <alignment horizontal="center"/>
    </xf>
    <xf numFmtId="3" fontId="53" fillId="0" borderId="5" xfId="0" applyNumberFormat="1" applyFont="1" applyFill="1" applyBorder="1" applyAlignment="1" applyProtection="1">
      <alignment horizontal="center"/>
    </xf>
    <xf numFmtId="3" fontId="54" fillId="0" borderId="5" xfId="0" applyNumberFormat="1" applyFont="1" applyFill="1" applyBorder="1" applyAlignment="1" applyProtection="1">
      <alignment horizontal="center"/>
    </xf>
    <xf numFmtId="3" fontId="54" fillId="0" borderId="130" xfId="0" applyNumberFormat="1" applyFont="1" applyFill="1" applyBorder="1" applyAlignment="1" applyProtection="1">
      <alignment horizontal="center"/>
    </xf>
    <xf numFmtId="166" fontId="56" fillId="0" borderId="79" xfId="0" applyNumberFormat="1" applyFont="1" applyFill="1" applyBorder="1" applyAlignment="1" applyProtection="1">
      <alignment horizontal="center"/>
      <protection locked="0"/>
    </xf>
    <xf numFmtId="166" fontId="55" fillId="0" borderId="2" xfId="0" quotePrefix="1" applyNumberFormat="1" applyFont="1" applyFill="1" applyBorder="1" applyAlignment="1" applyProtection="1">
      <alignment horizontal="right" wrapText="1" readingOrder="2"/>
      <protection locked="0"/>
    </xf>
    <xf numFmtId="49" fontId="52" fillId="0" borderId="122" xfId="0" applyNumberFormat="1" applyFont="1" applyFill="1" applyBorder="1" applyAlignment="1" applyProtection="1">
      <alignment horizontal="left"/>
    </xf>
    <xf numFmtId="0" fontId="55" fillId="0" borderId="2" xfId="0" quotePrefix="1" applyFont="1" applyFill="1" applyBorder="1" applyAlignment="1" applyProtection="1">
      <alignment horizontal="right" wrapText="1" readingOrder="2"/>
    </xf>
    <xf numFmtId="0" fontId="58" fillId="0" borderId="111" xfId="0" applyFont="1" applyFill="1" applyBorder="1" applyAlignment="1" applyProtection="1">
      <alignment horizontal="right" wrapText="1"/>
    </xf>
    <xf numFmtId="3" fontId="57" fillId="0" borderId="47" xfId="0" applyNumberFormat="1" applyFont="1" applyFill="1" applyBorder="1" applyAlignment="1" applyProtection="1">
      <alignment horizontal="center"/>
      <protection locked="0"/>
    </xf>
    <xf numFmtId="166" fontId="56" fillId="0" borderId="108" xfId="0" applyNumberFormat="1" applyFont="1" applyFill="1" applyBorder="1" applyAlignment="1" applyProtection="1">
      <alignment horizontal="center"/>
      <protection locked="0"/>
    </xf>
    <xf numFmtId="165" fontId="55" fillId="0" borderId="2" xfId="0" applyNumberFormat="1" applyFont="1" applyFill="1" applyBorder="1" applyAlignment="1" applyProtection="1">
      <alignment horizontal="right" wrapText="1"/>
    </xf>
    <xf numFmtId="166" fontId="58" fillId="0" borderId="50" xfId="0" applyNumberFormat="1" applyFont="1" applyFill="1" applyBorder="1" applyAlignment="1" applyProtection="1">
      <alignment horizontal="center"/>
    </xf>
    <xf numFmtId="3" fontId="57" fillId="0" borderId="2" xfId="37" applyNumberFormat="1" applyFont="1" applyFill="1" applyBorder="1" applyAlignment="1" applyProtection="1">
      <alignment horizontal="center"/>
      <protection locked="0"/>
    </xf>
    <xf numFmtId="2" fontId="51" fillId="0" borderId="88" xfId="0" applyNumberFormat="1" applyFont="1" applyFill="1" applyBorder="1" applyAlignment="1" applyProtection="1">
      <alignment horizontal="center"/>
      <protection locked="0"/>
    </xf>
    <xf numFmtId="2" fontId="59" fillId="0" borderId="1" xfId="0" applyNumberFormat="1" applyFont="1" applyFill="1" applyBorder="1" applyAlignment="1">
      <alignment horizontal="right" wrapText="1"/>
    </xf>
    <xf numFmtId="0" fontId="53" fillId="0" borderId="89" xfId="0" applyFont="1" applyFill="1" applyBorder="1" applyAlignment="1">
      <alignment wrapText="1"/>
    </xf>
    <xf numFmtId="2" fontId="51" fillId="0" borderId="131" xfId="0" applyNumberFormat="1" applyFont="1" applyFill="1" applyBorder="1" applyAlignment="1" applyProtection="1">
      <alignment horizontal="center"/>
    </xf>
    <xf numFmtId="2" fontId="51" fillId="0" borderId="91" xfId="0" applyNumberFormat="1" applyFont="1" applyFill="1" applyBorder="1" applyAlignment="1" applyProtection="1">
      <alignment horizontal="center"/>
    </xf>
    <xf numFmtId="3" fontId="55" fillId="0" borderId="0" xfId="39" applyNumberFormat="1" applyFont="1" applyFill="1" applyAlignment="1"/>
    <xf numFmtId="3" fontId="54" fillId="0" borderId="126" xfId="0" applyNumberFormat="1" applyFont="1" applyFill="1" applyBorder="1" applyAlignment="1" applyProtection="1">
      <alignment horizontal="center"/>
    </xf>
    <xf numFmtId="165" fontId="58" fillId="0" borderId="131" xfId="0" applyNumberFormat="1" applyFont="1" applyFill="1" applyBorder="1" applyAlignment="1" applyProtection="1">
      <alignment horizontal="center"/>
      <protection locked="0"/>
    </xf>
    <xf numFmtId="165" fontId="58" fillId="0" borderId="68" xfId="0" applyNumberFormat="1" applyFont="1" applyFill="1" applyBorder="1" applyAlignment="1" applyProtection="1">
      <alignment horizontal="center"/>
      <protection locked="0"/>
    </xf>
    <xf numFmtId="0" fontId="57" fillId="0" borderId="0" xfId="0" applyFont="1" applyFill="1" applyAlignment="1"/>
    <xf numFmtId="166" fontId="56" fillId="0" borderId="2" xfId="0" applyNumberFormat="1" applyFont="1" applyFill="1" applyBorder="1" applyAlignment="1" applyProtection="1">
      <alignment horizontal="center"/>
    </xf>
    <xf numFmtId="0" fontId="63" fillId="0" borderId="47" xfId="0" applyFont="1" applyFill="1" applyBorder="1" applyAlignment="1" applyProtection="1">
      <alignment horizontal="right" wrapText="1"/>
      <protection locked="0"/>
    </xf>
    <xf numFmtId="2" fontId="53" fillId="0" borderId="3" xfId="0" applyNumberFormat="1" applyFont="1" applyFill="1" applyBorder="1" applyAlignment="1">
      <alignment horizontal="right" wrapText="1"/>
    </xf>
    <xf numFmtId="0" fontId="58" fillId="0" borderId="47" xfId="0" applyFont="1" applyFill="1" applyBorder="1" applyAlignment="1" applyProtection="1">
      <alignment horizontal="right" wrapText="1"/>
    </xf>
    <xf numFmtId="166" fontId="58" fillId="0" borderId="109" xfId="0" applyNumberFormat="1" applyFont="1" applyFill="1" applyBorder="1" applyAlignment="1" applyProtection="1">
      <alignment horizontal="center"/>
    </xf>
    <xf numFmtId="0" fontId="53" fillId="0" borderId="3" xfId="0" applyFont="1" applyFill="1" applyBorder="1" applyAlignment="1">
      <alignment horizontal="right" wrapText="1"/>
    </xf>
    <xf numFmtId="166" fontId="58" fillId="0" borderId="106" xfId="0" applyNumberFormat="1" applyFont="1" applyFill="1" applyBorder="1" applyAlignment="1" applyProtection="1">
      <alignment horizontal="center"/>
    </xf>
    <xf numFmtId="0" fontId="55" fillId="0" borderId="2" xfId="0" quotePrefix="1" applyFont="1" applyFill="1" applyBorder="1" applyAlignment="1" applyProtection="1">
      <alignment horizontal="right" wrapText="1"/>
    </xf>
    <xf numFmtId="166" fontId="58" fillId="0" borderId="132" xfId="0" applyNumberFormat="1" applyFont="1" applyFill="1" applyBorder="1" applyAlignment="1" applyProtection="1">
      <alignment horizontal="right" wrapText="1"/>
      <protection locked="0"/>
    </xf>
    <xf numFmtId="49" fontId="51" fillId="0" borderId="133" xfId="0" applyNumberFormat="1" applyFont="1" applyFill="1" applyBorder="1" applyAlignment="1" applyProtection="1">
      <alignment horizontal="center"/>
      <protection locked="0"/>
    </xf>
    <xf numFmtId="166" fontId="56" fillId="0" borderId="134" xfId="0" applyNumberFormat="1" applyFont="1" applyFill="1" applyBorder="1" applyAlignment="1" applyProtection="1">
      <alignment horizontal="center"/>
      <protection locked="0"/>
    </xf>
    <xf numFmtId="49" fontId="52" fillId="0" borderId="45" xfId="0" applyNumberFormat="1" applyFont="1" applyFill="1" applyBorder="1" applyAlignment="1" applyProtection="1">
      <alignment horizontal="left"/>
      <protection locked="0"/>
    </xf>
    <xf numFmtId="0" fontId="53" fillId="0" borderId="45" xfId="0" applyFont="1" applyFill="1" applyBorder="1" applyAlignment="1">
      <alignment wrapText="1"/>
    </xf>
    <xf numFmtId="2" fontId="51" fillId="0" borderId="135" xfId="0" applyNumberFormat="1" applyFont="1" applyFill="1" applyBorder="1" applyAlignment="1" applyProtection="1">
      <alignment horizontal="center"/>
    </xf>
    <xf numFmtId="165" fontId="62" fillId="0" borderId="134" xfId="0" applyNumberFormat="1" applyFont="1" applyFill="1" applyBorder="1" applyAlignment="1" applyProtection="1">
      <alignment horizontal="center"/>
    </xf>
    <xf numFmtId="3" fontId="54" fillId="0" borderId="45" xfId="0" applyNumberFormat="1" applyFont="1" applyFill="1" applyBorder="1" applyAlignment="1" applyProtection="1">
      <alignment horizontal="center"/>
    </xf>
    <xf numFmtId="3" fontId="54" fillId="0" borderId="63" xfId="0" applyNumberFormat="1" applyFont="1" applyFill="1" applyBorder="1" applyAlignment="1" applyProtection="1">
      <alignment horizontal="center"/>
    </xf>
    <xf numFmtId="0" fontId="58" fillId="0" borderId="136" xfId="0" applyFont="1" applyFill="1" applyBorder="1" applyAlignment="1" applyProtection="1">
      <alignment horizontal="right" wrapText="1"/>
      <protection locked="0"/>
    </xf>
    <xf numFmtId="166" fontId="58" fillId="0" borderId="137" xfId="0" applyNumberFormat="1" applyFont="1" applyFill="1" applyBorder="1" applyAlignment="1" applyProtection="1">
      <alignment horizontal="center"/>
      <protection locked="0"/>
    </xf>
    <xf numFmtId="166" fontId="58" fillId="0" borderId="107" xfId="0" applyNumberFormat="1" applyFont="1" applyFill="1" applyBorder="1" applyAlignment="1" applyProtection="1">
      <alignment horizontal="right" wrapText="1"/>
      <protection locked="0"/>
    </xf>
    <xf numFmtId="49" fontId="51" fillId="0" borderId="40" xfId="0" applyNumberFormat="1" applyFont="1" applyFill="1" applyBorder="1" applyAlignment="1" applyProtection="1">
      <alignment horizontal="center"/>
      <protection locked="0"/>
    </xf>
    <xf numFmtId="49" fontId="52" fillId="0" borderId="3" xfId="0" applyNumberFormat="1" applyFont="1" applyFill="1" applyBorder="1" applyAlignment="1" applyProtection="1">
      <alignment horizontal="left"/>
      <protection locked="0"/>
    </xf>
    <xf numFmtId="0" fontId="53" fillId="0" borderId="3" xfId="0" applyFont="1" applyFill="1" applyBorder="1" applyAlignment="1">
      <alignment horizontal="right" wrapText="1" readingOrder="2"/>
    </xf>
    <xf numFmtId="166" fontId="58" fillId="0" borderId="138" xfId="0" applyNumberFormat="1" applyFont="1" applyFill="1" applyBorder="1" applyAlignment="1" applyProtection="1">
      <alignment horizontal="center"/>
      <protection locked="0"/>
    </xf>
    <xf numFmtId="166" fontId="58" fillId="0" borderId="51" xfId="0" applyNumberFormat="1" applyFont="1" applyFill="1" applyBorder="1" applyAlignment="1" applyProtection="1">
      <alignment horizontal="center"/>
      <protection locked="0"/>
    </xf>
    <xf numFmtId="2" fontId="51" fillId="0" borderId="139" xfId="0" applyNumberFormat="1" applyFont="1" applyFill="1" applyBorder="1" applyAlignment="1" applyProtection="1">
      <alignment horizontal="center"/>
    </xf>
    <xf numFmtId="2" fontId="51" fillId="0" borderId="140" xfId="0" applyNumberFormat="1" applyFont="1" applyFill="1" applyBorder="1" applyAlignment="1" applyProtection="1">
      <alignment horizontal="center"/>
    </xf>
    <xf numFmtId="2" fontId="58" fillId="0" borderId="12" xfId="0" applyNumberFormat="1" applyFont="1" applyFill="1" applyBorder="1" applyAlignment="1" applyProtection="1">
      <alignment horizontal="center"/>
      <protection locked="0"/>
    </xf>
    <xf numFmtId="2" fontId="58" fillId="0" borderId="91" xfId="0" applyNumberFormat="1" applyFont="1" applyFill="1" applyBorder="1" applyAlignment="1" applyProtection="1">
      <alignment horizontal="center"/>
      <protection locked="0"/>
    </xf>
    <xf numFmtId="2" fontId="51" fillId="0" borderId="141" xfId="0" applyNumberFormat="1" applyFont="1" applyFill="1" applyBorder="1" applyAlignment="1" applyProtection="1">
      <alignment horizontal="center"/>
    </xf>
    <xf numFmtId="2" fontId="51" fillId="0" borderId="122" xfId="0" applyNumberFormat="1" applyFont="1" applyFill="1" applyBorder="1" applyAlignment="1" applyProtection="1">
      <alignment horizontal="center"/>
    </xf>
    <xf numFmtId="3" fontId="54" fillId="0" borderId="113" xfId="0" applyNumberFormat="1" applyFont="1" applyFill="1" applyBorder="1" applyAlignment="1" applyProtection="1">
      <alignment horizontal="center"/>
    </xf>
    <xf numFmtId="0" fontId="58" fillId="0" borderId="142" xfId="0" applyFont="1" applyFill="1" applyBorder="1" applyAlignment="1">
      <alignment horizontal="center"/>
    </xf>
    <xf numFmtId="0" fontId="58" fillId="0" borderId="143" xfId="0" applyFont="1" applyFill="1" applyBorder="1" applyAlignment="1" applyProtection="1">
      <alignment horizontal="right" wrapText="1"/>
      <protection locked="0"/>
    </xf>
    <xf numFmtId="0" fontId="58" fillId="0" borderId="53" xfId="0" applyFont="1" applyFill="1" applyBorder="1" applyAlignment="1">
      <alignment horizontal="center"/>
    </xf>
    <xf numFmtId="0" fontId="52" fillId="0" borderId="84" xfId="0" applyFont="1" applyFill="1" applyBorder="1" applyAlignment="1" applyProtection="1">
      <alignment horizontal="center"/>
    </xf>
    <xf numFmtId="49" fontId="52" fillId="0" borderId="11" xfId="0" applyNumberFormat="1" applyFont="1" applyFill="1" applyBorder="1" applyAlignment="1" applyProtection="1">
      <alignment horizontal="left"/>
    </xf>
    <xf numFmtId="4" fontId="60" fillId="0" borderId="11" xfId="0" applyNumberFormat="1" applyFont="1" applyFill="1" applyBorder="1" applyAlignment="1" applyProtection="1">
      <alignment horizontal="center"/>
      <protection locked="0"/>
    </xf>
    <xf numFmtId="165" fontId="62" fillId="0" borderId="73" xfId="0" applyNumberFormat="1" applyFont="1" applyFill="1" applyBorder="1" applyAlignment="1" applyProtection="1">
      <alignment horizontal="center"/>
      <protection locked="0"/>
    </xf>
    <xf numFmtId="3" fontId="59" fillId="0" borderId="11" xfId="0" applyNumberFormat="1" applyFont="1" applyFill="1" applyBorder="1" applyAlignment="1" applyProtection="1">
      <alignment horizontal="center"/>
      <protection locked="0"/>
    </xf>
    <xf numFmtId="3" fontId="64" fillId="0" borderId="11" xfId="0" applyNumberFormat="1" applyFont="1" applyFill="1" applyBorder="1" applyAlignment="1" applyProtection="1">
      <alignment horizontal="center"/>
      <protection locked="0"/>
    </xf>
    <xf numFmtId="3" fontId="64" fillId="0" borderId="27" xfId="0" applyNumberFormat="1" applyFont="1" applyFill="1" applyBorder="1" applyAlignment="1" applyProtection="1">
      <alignment horizontal="center"/>
      <protection locked="0"/>
    </xf>
    <xf numFmtId="0" fontId="58"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0" xfId="0" applyFont="1" applyFill="1"/>
    <xf numFmtId="2" fontId="65" fillId="0" borderId="0" xfId="0" applyNumberFormat="1" applyFont="1" applyFill="1" applyBorder="1" applyAlignment="1">
      <alignment horizontal="right" wrapText="1"/>
    </xf>
    <xf numFmtId="2" fontId="66" fillId="0" borderId="0" xfId="0" applyNumberFormat="1" applyFont="1" applyFill="1" applyBorder="1" applyAlignment="1">
      <alignment horizontal="center"/>
    </xf>
    <xf numFmtId="4" fontId="57" fillId="0" borderId="0" xfId="0" applyNumberFormat="1" applyFont="1" applyFill="1" applyAlignment="1">
      <alignment horizontal="center"/>
    </xf>
    <xf numFmtId="4" fontId="55" fillId="0" borderId="0" xfId="0" applyNumberFormat="1" applyFont="1" applyFill="1" applyAlignment="1">
      <alignment horizontal="center"/>
    </xf>
    <xf numFmtId="0" fontId="57" fillId="0" borderId="0" xfId="39" applyFont="1" applyFill="1" applyAlignment="1">
      <alignment horizontal="center"/>
    </xf>
    <xf numFmtId="0" fontId="58" fillId="0" borderId="0" xfId="0" applyFont="1" applyFill="1" applyBorder="1" applyAlignment="1">
      <alignment wrapText="1"/>
    </xf>
    <xf numFmtId="2" fontId="67" fillId="0" borderId="0" xfId="0" applyNumberFormat="1" applyFont="1" applyFill="1" applyBorder="1" applyAlignment="1">
      <alignment horizontal="right" wrapText="1"/>
    </xf>
    <xf numFmtId="2" fontId="68" fillId="0" borderId="0" xfId="0" applyNumberFormat="1" applyFont="1" applyFill="1" applyBorder="1" applyAlignment="1">
      <alignment horizontal="center"/>
    </xf>
    <xf numFmtId="0" fontId="61" fillId="0" borderId="0" xfId="0" applyFont="1" applyFill="1" applyAlignment="1">
      <alignment horizontal="center"/>
    </xf>
    <xf numFmtId="172" fontId="55" fillId="0" borderId="0" xfId="0" applyNumberFormat="1" applyFont="1" applyFill="1" applyBorder="1" applyAlignment="1">
      <alignment horizontal="center"/>
    </xf>
    <xf numFmtId="2" fontId="57" fillId="0" borderId="0" xfId="0" applyNumberFormat="1" applyFont="1" applyFill="1" applyBorder="1" applyAlignment="1">
      <alignment horizontal="center"/>
    </xf>
    <xf numFmtId="172" fontId="57" fillId="0" borderId="0" xfId="0" applyNumberFormat="1" applyFont="1" applyFill="1" applyBorder="1" applyAlignment="1">
      <alignment horizontal="center"/>
    </xf>
    <xf numFmtId="0" fontId="57" fillId="0" borderId="0" xfId="0" applyFont="1" applyFill="1" applyBorder="1" applyAlignment="1">
      <alignment horizontal="center"/>
    </xf>
    <xf numFmtId="0" fontId="58" fillId="0" borderId="0" xfId="0" applyFont="1" applyFill="1" applyBorder="1" applyAlignment="1">
      <alignment horizontal="right"/>
    </xf>
    <xf numFmtId="166" fontId="58" fillId="0" borderId="0" xfId="0" applyNumberFormat="1" applyFont="1" applyFill="1" applyBorder="1" applyAlignment="1">
      <alignment horizontal="right" wrapText="1"/>
    </xf>
    <xf numFmtId="166" fontId="58" fillId="0" borderId="0" xfId="0" applyNumberFormat="1" applyFont="1" applyFill="1" applyBorder="1" applyAlignment="1">
      <alignment horizontal="center" vertical="center"/>
    </xf>
    <xf numFmtId="166" fontId="56" fillId="0" borderId="0" xfId="0" applyNumberFormat="1" applyFont="1" applyFill="1" applyBorder="1" applyAlignment="1">
      <alignment horizontal="center" vertical="center"/>
    </xf>
    <xf numFmtId="0" fontId="56" fillId="0" borderId="0" xfId="0" applyFont="1" applyFill="1" applyBorder="1" applyAlignment="1">
      <alignment horizontal="right"/>
    </xf>
    <xf numFmtId="2" fontId="55" fillId="0" borderId="0" xfId="0" applyNumberFormat="1" applyFont="1" applyFill="1" applyBorder="1" applyAlignment="1">
      <alignment horizontal="right" wrapText="1"/>
    </xf>
    <xf numFmtId="2" fontId="58" fillId="0" borderId="0" xfId="0" applyNumberFormat="1" applyFont="1" applyFill="1" applyBorder="1" applyAlignment="1">
      <alignment horizontal="center"/>
    </xf>
    <xf numFmtId="3" fontId="61" fillId="0" borderId="0" xfId="0" applyNumberFormat="1" applyFont="1" applyFill="1" applyBorder="1" applyAlignment="1">
      <alignment horizontal="center"/>
    </xf>
    <xf numFmtId="3" fontId="55" fillId="0" borderId="0" xfId="0" applyNumberFormat="1" applyFont="1" applyFill="1" applyBorder="1" applyAlignment="1">
      <alignment horizontal="center"/>
    </xf>
    <xf numFmtId="3" fontId="57" fillId="0" borderId="0" xfId="0" applyNumberFormat="1" applyFont="1" applyFill="1" applyBorder="1" applyAlignment="1">
      <alignment horizontal="center"/>
    </xf>
    <xf numFmtId="170" fontId="57" fillId="0" borderId="0" xfId="37" applyNumberFormat="1" applyFont="1" applyFill="1" applyAlignment="1">
      <alignment horizontal="center"/>
    </xf>
    <xf numFmtId="170" fontId="58" fillId="0" borderId="0" xfId="37" applyNumberFormat="1" applyFont="1" applyFill="1" applyBorder="1" applyAlignment="1">
      <alignment vertical="center"/>
    </xf>
    <xf numFmtId="0" fontId="57" fillId="0" borderId="0" xfId="0" applyFont="1" applyFill="1" applyAlignment="1">
      <alignment horizontal="center"/>
    </xf>
    <xf numFmtId="165" fontId="58" fillId="0" borderId="0" xfId="0" applyNumberFormat="1" applyFont="1" applyFill="1" applyBorder="1" applyAlignment="1">
      <alignment horizontal="center"/>
    </xf>
    <xf numFmtId="0" fontId="58" fillId="0" borderId="144" xfId="0" applyFont="1" applyFill="1" applyBorder="1" applyAlignment="1">
      <alignment wrapText="1"/>
    </xf>
    <xf numFmtId="0" fontId="56" fillId="0" borderId="0" xfId="0" applyFont="1" applyFill="1" applyBorder="1" applyAlignment="1">
      <alignment horizontal="center"/>
    </xf>
    <xf numFmtId="0" fontId="55" fillId="0" borderId="0" xfId="0" applyFont="1" applyFill="1" applyBorder="1" applyAlignment="1">
      <alignment horizontal="right" wrapText="1"/>
    </xf>
    <xf numFmtId="0" fontId="55" fillId="0" borderId="0" xfId="0" applyFont="1" applyFill="1" applyBorder="1" applyAlignment="1">
      <alignment horizontal="center"/>
    </xf>
    <xf numFmtId="3" fontId="54" fillId="0" borderId="28" xfId="0" applyNumberFormat="1" applyFont="1" applyFill="1" applyBorder="1" applyAlignment="1" applyProtection="1">
      <alignment horizontal="center"/>
      <protection locked="0"/>
    </xf>
    <xf numFmtId="0" fontId="29" fillId="0" borderId="0" xfId="0" applyFont="1" applyFill="1" applyAlignment="1">
      <alignment horizontal="center" vertical="center"/>
    </xf>
    <xf numFmtId="0" fontId="29" fillId="0" borderId="145" xfId="0" applyFont="1" applyFill="1" applyBorder="1" applyAlignment="1" applyProtection="1">
      <alignment vertical="center" wrapText="1"/>
    </xf>
    <xf numFmtId="0" fontId="29" fillId="0" borderId="23" xfId="0" applyFont="1" applyFill="1" applyBorder="1" applyAlignment="1" applyProtection="1">
      <alignment vertical="center" wrapText="1"/>
    </xf>
    <xf numFmtId="166" fontId="29" fillId="0" borderId="70" xfId="0" applyNumberFormat="1" applyFont="1" applyFill="1" applyBorder="1" applyAlignment="1" applyProtection="1">
      <alignment vertical="center" wrapText="1"/>
    </xf>
    <xf numFmtId="166" fontId="29" fillId="0" borderId="71" xfId="0" applyNumberFormat="1" applyFont="1" applyFill="1" applyBorder="1" applyAlignment="1" applyProtection="1">
      <alignment vertical="center" wrapText="1"/>
    </xf>
    <xf numFmtId="0" fontId="25" fillId="0" borderId="10" xfId="0" quotePrefix="1" applyFont="1" applyFill="1" applyBorder="1" applyAlignment="1">
      <alignment horizontal="center" vertical="center" wrapText="1"/>
    </xf>
    <xf numFmtId="0" fontId="29" fillId="0" borderId="10"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48" xfId="0" applyFont="1" applyFill="1" applyBorder="1" applyAlignment="1" applyProtection="1">
      <alignment horizontal="center" vertical="center" wrapText="1"/>
    </xf>
    <xf numFmtId="0" fontId="29" fillId="0" borderId="24" xfId="0" applyFont="1" applyFill="1" applyBorder="1" applyAlignment="1" applyProtection="1">
      <alignment horizontal="center" vertical="center" wrapText="1"/>
    </xf>
    <xf numFmtId="166" fontId="29" fillId="0" borderId="73" xfId="0" applyNumberFormat="1" applyFont="1" applyFill="1" applyBorder="1" applyAlignment="1" applyProtection="1">
      <alignment horizontal="center" vertical="center" wrapText="1"/>
    </xf>
    <xf numFmtId="166" fontId="29" fillId="0" borderId="74" xfId="0" applyNumberFormat="1" applyFont="1" applyFill="1" applyBorder="1" applyAlignment="1" applyProtection="1">
      <alignment horizontal="center" vertical="center" wrapText="1"/>
    </xf>
    <xf numFmtId="0" fontId="25" fillId="0" borderId="11" xfId="0" applyFont="1" applyFill="1" applyBorder="1" applyAlignment="1">
      <alignment horizontal="center" vertical="center" wrapText="1"/>
    </xf>
    <xf numFmtId="49" fontId="25" fillId="0" borderId="11" xfId="0" applyNumberFormat="1" applyFont="1" applyFill="1" applyBorder="1" applyAlignment="1" applyProtection="1">
      <alignment horizontal="center" vertical="center" wrapText="1"/>
    </xf>
    <xf numFmtId="49" fontId="29" fillId="0" borderId="11" xfId="0" applyNumberFormat="1" applyFont="1" applyFill="1" applyBorder="1" applyAlignment="1">
      <alignment horizontal="center" vertical="center" wrapText="1"/>
    </xf>
    <xf numFmtId="49" fontId="29" fillId="0" borderId="11" xfId="0" applyNumberFormat="1" applyFont="1" applyFill="1" applyBorder="1" applyAlignment="1" applyProtection="1">
      <alignment horizontal="center" vertical="center" wrapText="1"/>
    </xf>
    <xf numFmtId="49" fontId="29" fillId="0" borderId="27" xfId="0" applyNumberFormat="1" applyFont="1" applyFill="1" applyBorder="1" applyAlignment="1" applyProtection="1">
      <alignment horizontal="center" vertical="center" wrapText="1"/>
    </xf>
    <xf numFmtId="0" fontId="47" fillId="0" borderId="144" xfId="0" applyFont="1" applyFill="1" applyBorder="1" applyAlignment="1" applyProtection="1">
      <alignment horizontal="right"/>
    </xf>
    <xf numFmtId="49" fontId="47" fillId="0" borderId="23" xfId="0" applyNumberFormat="1" applyFont="1" applyFill="1" applyBorder="1" applyAlignment="1" applyProtection="1">
      <alignment horizontal="center"/>
    </xf>
    <xf numFmtId="166" fontId="21" fillId="0" borderId="112" xfId="0" applyNumberFormat="1" applyFont="1" applyFill="1" applyBorder="1" applyAlignment="1" applyProtection="1">
      <alignment horizontal="center"/>
    </xf>
    <xf numFmtId="166" fontId="21" fillId="0" borderId="1" xfId="0" applyNumberFormat="1" applyFont="1" applyFill="1" applyBorder="1" applyAlignment="1" applyProtection="1">
      <alignment horizontal="left"/>
    </xf>
    <xf numFmtId="0" fontId="25" fillId="0" borderId="1" xfId="0" applyFont="1" applyFill="1" applyBorder="1" applyAlignment="1"/>
    <xf numFmtId="3" fontId="29" fillId="0" borderId="1" xfId="0" applyNumberFormat="1" applyFont="1" applyFill="1" applyBorder="1" applyAlignment="1" applyProtection="1">
      <alignment horizontal="center"/>
    </xf>
    <xf numFmtId="3" fontId="19" fillId="0" borderId="1" xfId="0" applyNumberFormat="1" applyFont="1" applyFill="1" applyBorder="1" applyAlignment="1">
      <alignment horizontal="center"/>
    </xf>
    <xf numFmtId="3" fontId="47" fillId="0" borderId="1" xfId="0" applyNumberFormat="1" applyFont="1" applyFill="1" applyBorder="1" applyAlignment="1" applyProtection="1">
      <alignment horizontal="center" wrapText="1"/>
    </xf>
    <xf numFmtId="3" fontId="19" fillId="0" borderId="1" xfId="0" applyNumberFormat="1" applyFont="1" applyFill="1" applyBorder="1" applyAlignment="1" applyProtection="1">
      <alignment horizontal="center"/>
    </xf>
    <xf numFmtId="0" fontId="19" fillId="0" borderId="36" xfId="0" applyFont="1" applyFill="1" applyBorder="1" applyAlignment="1">
      <alignment horizontal="center"/>
    </xf>
    <xf numFmtId="49" fontId="47" fillId="0" borderId="146" xfId="0" applyNumberFormat="1" applyFont="1" applyFill="1" applyBorder="1" applyAlignment="1" applyProtection="1">
      <alignment horizontal="center"/>
    </xf>
    <xf numFmtId="0" fontId="25" fillId="0" borderId="1" xfId="0" applyFont="1" applyFill="1" applyBorder="1" applyAlignment="1">
      <alignment horizontal="right"/>
    </xf>
    <xf numFmtId="166" fontId="24" fillId="0" borderId="131" xfId="0" applyNumberFormat="1" applyFont="1" applyFill="1" applyBorder="1" applyAlignment="1" applyProtection="1">
      <alignment horizontal="right"/>
      <protection locked="0"/>
    </xf>
    <xf numFmtId="166" fontId="24" fillId="0" borderId="25" xfId="0" applyNumberFormat="1" applyFont="1" applyFill="1" applyBorder="1" applyAlignment="1" applyProtection="1">
      <alignment horizontal="center"/>
      <protection locked="0"/>
    </xf>
    <xf numFmtId="166" fontId="20" fillId="0" borderId="19" xfId="0" applyNumberFormat="1" applyFont="1" applyFill="1" applyBorder="1" applyAlignment="1" applyProtection="1">
      <alignment horizontal="center"/>
      <protection locked="0"/>
    </xf>
    <xf numFmtId="166" fontId="20" fillId="0" borderId="2" xfId="0" applyNumberFormat="1" applyFont="1" applyFill="1" applyBorder="1" applyAlignment="1" applyProtection="1">
      <alignment horizontal="center"/>
      <protection locked="0"/>
    </xf>
    <xf numFmtId="3" fontId="8" fillId="0" borderId="2" xfId="0" applyNumberFormat="1" applyFont="1" applyFill="1" applyBorder="1" applyAlignment="1" applyProtection="1">
      <alignment horizontal="center"/>
      <protection locked="0"/>
    </xf>
    <xf numFmtId="3" fontId="9" fillId="0" borderId="2" xfId="0" applyNumberFormat="1" applyFont="1" applyFill="1" applyBorder="1" applyAlignment="1" applyProtection="1">
      <alignment horizontal="center"/>
      <protection locked="0"/>
    </xf>
    <xf numFmtId="3" fontId="9" fillId="0" borderId="28" xfId="0" applyNumberFormat="1" applyFont="1" applyFill="1" applyBorder="1" applyAlignment="1" applyProtection="1">
      <alignment horizontal="center"/>
      <protection locked="0"/>
    </xf>
    <xf numFmtId="165" fontId="31" fillId="0" borderId="2" xfId="0" applyNumberFormat="1" applyFont="1" applyFill="1" applyBorder="1" applyAlignment="1" applyProtection="1">
      <alignment horizontal="right"/>
      <protection locked="0"/>
    </xf>
    <xf numFmtId="3" fontId="46" fillId="0" borderId="2" xfId="0" applyNumberFormat="1" applyFont="1" applyFill="1" applyBorder="1" applyAlignment="1" applyProtection="1">
      <alignment horizontal="center"/>
      <protection locked="0"/>
    </xf>
    <xf numFmtId="3" fontId="27" fillId="0" borderId="2" xfId="0" applyNumberFormat="1" applyFont="1" applyFill="1" applyBorder="1" applyAlignment="1" applyProtection="1">
      <alignment horizontal="center"/>
      <protection locked="0"/>
    </xf>
    <xf numFmtId="3" fontId="27" fillId="0" borderId="28" xfId="0" applyNumberFormat="1" applyFont="1" applyFill="1" applyBorder="1" applyAlignment="1" applyProtection="1">
      <alignment horizontal="center"/>
      <protection locked="0"/>
    </xf>
    <xf numFmtId="165" fontId="8" fillId="0" borderId="2" xfId="0" quotePrefix="1" applyNumberFormat="1" applyFont="1" applyFill="1" applyBorder="1" applyAlignment="1" applyProtection="1">
      <alignment horizontal="right"/>
      <protection locked="0"/>
    </xf>
    <xf numFmtId="3" fontId="31" fillId="0" borderId="2" xfId="0" applyNumberFormat="1" applyFont="1" applyFill="1" applyBorder="1" applyAlignment="1" applyProtection="1">
      <alignment horizontal="center"/>
      <protection locked="0"/>
    </xf>
    <xf numFmtId="3" fontId="39" fillId="0" borderId="2" xfId="0" applyNumberFormat="1" applyFont="1" applyFill="1" applyBorder="1" applyAlignment="1" applyProtection="1">
      <alignment horizontal="center"/>
      <protection locked="0"/>
    </xf>
    <xf numFmtId="3" fontId="39" fillId="0" borderId="28" xfId="0" applyNumberFormat="1" applyFont="1" applyFill="1" applyBorder="1" applyAlignment="1" applyProtection="1">
      <alignment horizontal="center"/>
      <protection locked="0"/>
    </xf>
    <xf numFmtId="166" fontId="24" fillId="0" borderId="147" xfId="0" applyNumberFormat="1" applyFont="1" applyFill="1" applyBorder="1" applyAlignment="1" applyProtection="1">
      <alignment horizontal="right"/>
      <protection locked="0"/>
    </xf>
    <xf numFmtId="49" fontId="47" fillId="0" borderId="40" xfId="0" applyNumberFormat="1" applyFont="1" applyFill="1" applyBorder="1" applyAlignment="1" applyProtection="1">
      <alignment horizontal="center"/>
      <protection locked="0"/>
    </xf>
    <xf numFmtId="166" fontId="20" fillId="0" borderId="108" xfId="0" applyNumberFormat="1" applyFont="1" applyFill="1" applyBorder="1" applyAlignment="1" applyProtection="1">
      <alignment horizontal="center"/>
      <protection locked="0"/>
    </xf>
    <xf numFmtId="166" fontId="21" fillId="0" borderId="3" xfId="0" applyNumberFormat="1" applyFont="1" applyFill="1" applyBorder="1" applyAlignment="1" applyProtection="1">
      <alignment horizontal="left"/>
      <protection locked="0"/>
    </xf>
    <xf numFmtId="165" fontId="29" fillId="0" borderId="3" xfId="0" applyNumberFormat="1" applyFont="1" applyFill="1" applyBorder="1" applyAlignment="1" applyProtection="1">
      <alignment horizontal="right"/>
      <protection locked="0"/>
    </xf>
    <xf numFmtId="3" fontId="29" fillId="0" borderId="3" xfId="0" applyNumberFormat="1" applyFont="1" applyFill="1" applyBorder="1" applyAlignment="1" applyProtection="1">
      <alignment horizontal="center"/>
      <protection locked="0"/>
    </xf>
    <xf numFmtId="3" fontId="19" fillId="0" borderId="3" xfId="0" applyNumberFormat="1" applyFont="1" applyFill="1" applyBorder="1" applyAlignment="1" applyProtection="1">
      <alignment horizontal="center"/>
      <protection locked="0"/>
    </xf>
    <xf numFmtId="3" fontId="19" fillId="0" borderId="37" xfId="0" applyNumberFormat="1" applyFont="1" applyFill="1" applyBorder="1" applyAlignment="1" applyProtection="1">
      <alignment horizontal="center"/>
      <protection locked="0"/>
    </xf>
    <xf numFmtId="3" fontId="19" fillId="0" borderId="36" xfId="0" applyNumberFormat="1" applyFont="1" applyFill="1" applyBorder="1" applyAlignment="1" applyProtection="1">
      <alignment horizontal="center"/>
    </xf>
    <xf numFmtId="165" fontId="8" fillId="0" borderId="2" xfId="0" applyNumberFormat="1" applyFont="1" applyFill="1" applyBorder="1" applyAlignment="1" applyProtection="1">
      <alignment horizontal="right" wrapText="1"/>
      <protection locked="0"/>
    </xf>
    <xf numFmtId="166" fontId="24" fillId="0" borderId="61" xfId="0" applyNumberFormat="1" applyFont="1" applyFill="1" applyBorder="1" applyAlignment="1" applyProtection="1">
      <alignment horizontal="right"/>
      <protection locked="0"/>
    </xf>
    <xf numFmtId="49" fontId="47" fillId="0" borderId="133" xfId="0" applyNumberFormat="1" applyFont="1" applyFill="1" applyBorder="1" applyAlignment="1" applyProtection="1">
      <alignment horizontal="center"/>
      <protection locked="0"/>
    </xf>
    <xf numFmtId="166" fontId="20" fillId="0" borderId="134" xfId="0" applyNumberFormat="1" applyFont="1" applyFill="1" applyBorder="1" applyAlignment="1" applyProtection="1">
      <alignment horizontal="center"/>
      <protection locked="0"/>
    </xf>
    <xf numFmtId="166" fontId="21" fillId="0" borderId="45" xfId="0" applyNumberFormat="1" applyFont="1" applyFill="1" applyBorder="1" applyAlignment="1" applyProtection="1">
      <alignment horizontal="left"/>
      <protection locked="0"/>
    </xf>
    <xf numFmtId="165" fontId="29" fillId="0" borderId="45" xfId="0" applyNumberFormat="1" applyFont="1" applyFill="1" applyBorder="1" applyAlignment="1" applyProtection="1">
      <alignment horizontal="right"/>
      <protection locked="0"/>
    </xf>
    <xf numFmtId="3" fontId="29" fillId="0" borderId="45" xfId="0" applyNumberFormat="1" applyFont="1" applyFill="1" applyBorder="1" applyAlignment="1" applyProtection="1">
      <alignment horizontal="center"/>
      <protection locked="0"/>
    </xf>
    <xf numFmtId="3" fontId="19" fillId="0" borderId="45" xfId="0" applyNumberFormat="1" applyFont="1" applyFill="1" applyBorder="1" applyAlignment="1" applyProtection="1">
      <alignment horizontal="center"/>
      <protection locked="0"/>
    </xf>
    <xf numFmtId="3" fontId="19" fillId="0" borderId="63" xfId="0" applyNumberFormat="1" applyFont="1" applyFill="1" applyBorder="1" applyAlignment="1" applyProtection="1">
      <alignment horizontal="center"/>
      <protection locked="0"/>
    </xf>
    <xf numFmtId="166" fontId="24" fillId="0" borderId="148" xfId="0" applyNumberFormat="1" applyFont="1" applyFill="1" applyBorder="1" applyAlignment="1" applyProtection="1">
      <alignment horizontal="right"/>
      <protection locked="0"/>
    </xf>
    <xf numFmtId="49" fontId="47" fillId="0" borderId="149" xfId="0" applyNumberFormat="1" applyFont="1" applyFill="1" applyBorder="1" applyAlignment="1" applyProtection="1">
      <alignment horizontal="center"/>
    </xf>
    <xf numFmtId="166" fontId="20" fillId="0" borderId="119" xfId="0" applyNumberFormat="1" applyFont="1" applyFill="1" applyBorder="1" applyAlignment="1" applyProtection="1">
      <alignment horizontal="center"/>
      <protection locked="0"/>
    </xf>
    <xf numFmtId="166" fontId="21" fillId="0" borderId="120" xfId="0" applyNumberFormat="1" applyFont="1" applyFill="1" applyBorder="1" applyAlignment="1" applyProtection="1">
      <alignment horizontal="left"/>
    </xf>
    <xf numFmtId="0" fontId="29" fillId="0" borderId="120" xfId="0" applyFont="1" applyFill="1" applyBorder="1" applyAlignment="1"/>
    <xf numFmtId="3" fontId="29" fillId="0" borderId="120" xfId="0" applyNumberFormat="1" applyFont="1" applyFill="1" applyBorder="1" applyAlignment="1" applyProtection="1">
      <alignment horizontal="center"/>
      <protection locked="0"/>
    </xf>
    <xf numFmtId="3" fontId="19" fillId="0" borderId="120" xfId="0" applyNumberFormat="1" applyFont="1" applyFill="1" applyBorder="1" applyAlignment="1" applyProtection="1">
      <alignment horizontal="center"/>
      <protection locked="0"/>
    </xf>
    <xf numFmtId="3" fontId="19" fillId="0" borderId="121" xfId="0" applyNumberFormat="1" applyFont="1" applyFill="1" applyBorder="1" applyAlignment="1" applyProtection="1">
      <alignment horizontal="center"/>
      <protection locked="0"/>
    </xf>
    <xf numFmtId="166" fontId="24" fillId="0" borderId="131" xfId="0" applyNumberFormat="1" applyFont="1" applyFill="1" applyBorder="1" applyAlignment="1" applyProtection="1">
      <alignment horizontal="right" wrapText="1"/>
      <protection locked="0"/>
    </xf>
    <xf numFmtId="166" fontId="24" fillId="0" borderId="40" xfId="0" applyNumberFormat="1" applyFont="1" applyFill="1" applyBorder="1" applyAlignment="1" applyProtection="1">
      <alignment horizontal="center"/>
      <protection locked="0"/>
    </xf>
    <xf numFmtId="166" fontId="24" fillId="0" borderId="146" xfId="0" applyNumberFormat="1" applyFont="1" applyFill="1" applyBorder="1" applyAlignment="1" applyProtection="1">
      <alignment horizontal="center"/>
      <protection locked="0"/>
    </xf>
    <xf numFmtId="0" fontId="25" fillId="0" borderId="1" xfId="0" quotePrefix="1" applyFont="1" applyFill="1" applyBorder="1" applyAlignment="1">
      <alignment horizontal="right"/>
    </xf>
    <xf numFmtId="3" fontId="9" fillId="0" borderId="36" xfId="0" applyNumberFormat="1" applyFont="1" applyFill="1" applyBorder="1" applyAlignment="1" applyProtection="1">
      <alignment horizontal="center"/>
      <protection locked="0"/>
    </xf>
    <xf numFmtId="0" fontId="8" fillId="0" borderId="2" xfId="0" applyFont="1" applyFill="1" applyBorder="1" applyAlignment="1" applyProtection="1">
      <alignment horizontal="right" wrapText="1"/>
    </xf>
    <xf numFmtId="0" fontId="8" fillId="0" borderId="2" xfId="0" applyFont="1" applyFill="1" applyBorder="1" applyAlignment="1" applyProtection="1">
      <alignment horizontal="right"/>
    </xf>
    <xf numFmtId="0" fontId="47" fillId="0" borderId="147" xfId="0" applyFont="1" applyFill="1" applyBorder="1" applyAlignment="1" applyProtection="1">
      <alignment horizontal="right"/>
    </xf>
    <xf numFmtId="49" fontId="47" fillId="0" borderId="40" xfId="0" applyNumberFormat="1" applyFont="1" applyFill="1" applyBorder="1" applyAlignment="1" applyProtection="1">
      <alignment horizontal="center"/>
    </xf>
    <xf numFmtId="166" fontId="21" fillId="0" borderId="108" xfId="0" applyNumberFormat="1" applyFont="1" applyFill="1" applyBorder="1" applyAlignment="1" applyProtection="1">
      <alignment horizontal="center"/>
    </xf>
    <xf numFmtId="166" fontId="21" fillId="0" borderId="3" xfId="0" applyNumberFormat="1" applyFont="1" applyFill="1" applyBorder="1" applyAlignment="1" applyProtection="1">
      <alignment horizontal="left"/>
    </xf>
    <xf numFmtId="0" fontId="29" fillId="0" borderId="3" xfId="0" applyFont="1" applyFill="1" applyBorder="1" applyAlignment="1"/>
    <xf numFmtId="3" fontId="29" fillId="0" borderId="3" xfId="0" applyNumberFormat="1" applyFont="1" applyFill="1" applyBorder="1" applyAlignment="1" applyProtection="1">
      <alignment horizontal="center"/>
    </xf>
    <xf numFmtId="3" fontId="19" fillId="0" borderId="3" xfId="0" applyNumberFormat="1" applyFont="1" applyFill="1" applyBorder="1" applyAlignment="1" applyProtection="1">
      <alignment horizontal="center"/>
    </xf>
    <xf numFmtId="3" fontId="19" fillId="0" borderId="37" xfId="0" applyNumberFormat="1" applyFont="1" applyFill="1" applyBorder="1" applyAlignment="1" applyProtection="1">
      <alignment horizontal="center"/>
    </xf>
    <xf numFmtId="165" fontId="29" fillId="0" borderId="3" xfId="0" applyNumberFormat="1" applyFont="1" applyFill="1" applyBorder="1" applyAlignment="1" applyProtection="1">
      <alignment horizontal="right"/>
    </xf>
    <xf numFmtId="166" fontId="20" fillId="0" borderId="3" xfId="0" applyNumberFormat="1" applyFont="1" applyFill="1" applyBorder="1" applyAlignment="1" applyProtection="1">
      <alignment horizontal="center"/>
      <protection locked="0"/>
    </xf>
    <xf numFmtId="165" fontId="8" fillId="0" borderId="3" xfId="0" applyNumberFormat="1" applyFont="1" applyFill="1" applyBorder="1" applyAlignment="1" applyProtection="1">
      <alignment horizontal="right"/>
      <protection locked="0"/>
    </xf>
    <xf numFmtId="3" fontId="8" fillId="0" borderId="3" xfId="0" applyNumberFormat="1" applyFont="1" applyFill="1" applyBorder="1" applyAlignment="1" applyProtection="1">
      <alignment horizontal="center"/>
      <protection locked="0"/>
    </xf>
    <xf numFmtId="3" fontId="9" fillId="0" borderId="3" xfId="0" applyNumberFormat="1" applyFont="1" applyFill="1" applyBorder="1" applyAlignment="1" applyProtection="1">
      <alignment horizontal="center"/>
      <protection locked="0"/>
    </xf>
    <xf numFmtId="3" fontId="9" fillId="0" borderId="107" xfId="0" applyNumberFormat="1" applyFont="1" applyFill="1" applyBorder="1" applyAlignment="1" applyProtection="1">
      <alignment horizontal="center"/>
      <protection locked="0"/>
    </xf>
    <xf numFmtId="3" fontId="19" fillId="0" borderId="150" xfId="0" applyNumberFormat="1" applyFont="1" applyFill="1" applyBorder="1" applyAlignment="1" applyProtection="1">
      <alignment horizontal="center"/>
      <protection locked="0"/>
    </xf>
    <xf numFmtId="3" fontId="8" fillId="0" borderId="7" xfId="38" applyNumberFormat="1" applyFont="1" applyFill="1" applyBorder="1" applyAlignment="1">
      <alignment horizontal="center"/>
    </xf>
    <xf numFmtId="3" fontId="9" fillId="0" borderId="7" xfId="38" applyNumberFormat="1" applyFont="1" applyFill="1" applyBorder="1" applyAlignment="1">
      <alignment horizontal="center"/>
    </xf>
    <xf numFmtId="165" fontId="8" fillId="0" borderId="2" xfId="0" applyNumberFormat="1" applyFont="1" applyFill="1" applyBorder="1" applyAlignment="1" applyProtection="1">
      <alignment horizontal="right" wrapText="1" readingOrder="2"/>
      <protection locked="0"/>
    </xf>
    <xf numFmtId="165" fontId="8" fillId="0" borderId="2" xfId="0" applyNumberFormat="1" applyFont="1" applyFill="1" applyBorder="1" applyAlignment="1" applyProtection="1">
      <alignment horizontal="right" readingOrder="2"/>
      <protection locked="0"/>
    </xf>
    <xf numFmtId="3" fontId="29" fillId="0" borderId="1" xfId="0" applyNumberFormat="1" applyFont="1" applyFill="1" applyBorder="1" applyAlignment="1" applyProtection="1">
      <alignment horizontal="center" wrapText="1"/>
    </xf>
    <xf numFmtId="0" fontId="29" fillId="0" borderId="3" xfId="0" applyFont="1" applyFill="1" applyBorder="1" applyAlignment="1">
      <alignment horizontal="right"/>
    </xf>
    <xf numFmtId="0" fontId="25" fillId="0" borderId="1" xfId="0" applyFont="1" applyFill="1" applyBorder="1" applyAlignment="1">
      <alignment wrapText="1"/>
    </xf>
    <xf numFmtId="0" fontId="24" fillId="0" borderId="131" xfId="0" applyFont="1" applyFill="1" applyBorder="1" applyAlignment="1" applyProtection="1">
      <alignment horizontal="right"/>
      <protection locked="0"/>
    </xf>
    <xf numFmtId="166" fontId="24" fillId="0" borderId="93" xfId="0" applyNumberFormat="1" applyFont="1" applyFill="1" applyBorder="1" applyAlignment="1" applyProtection="1">
      <alignment horizontal="center"/>
      <protection locked="0"/>
    </xf>
    <xf numFmtId="166" fontId="20" fillId="0" borderId="77" xfId="0" applyNumberFormat="1" applyFont="1" applyFill="1" applyBorder="1" applyAlignment="1" applyProtection="1">
      <alignment horizontal="center"/>
      <protection locked="0"/>
    </xf>
    <xf numFmtId="166" fontId="20" fillId="0" borderId="78" xfId="0" applyNumberFormat="1" applyFont="1" applyFill="1" applyBorder="1" applyAlignment="1" applyProtection="1">
      <alignment horizontal="center"/>
      <protection locked="0"/>
    </xf>
    <xf numFmtId="165" fontId="8" fillId="0" borderId="78" xfId="0" applyNumberFormat="1" applyFont="1" applyFill="1" applyBorder="1" applyAlignment="1" applyProtection="1">
      <alignment horizontal="right"/>
      <protection locked="0"/>
    </xf>
    <xf numFmtId="3" fontId="8" fillId="0" borderId="78" xfId="0" applyNumberFormat="1" applyFont="1" applyFill="1" applyBorder="1" applyAlignment="1" applyProtection="1">
      <alignment horizontal="center"/>
      <protection locked="0"/>
    </xf>
    <xf numFmtId="165" fontId="25" fillId="0" borderId="1" xfId="0" applyNumberFormat="1" applyFont="1" applyFill="1" applyBorder="1" applyAlignment="1" applyProtection="1">
      <alignment horizontal="right"/>
    </xf>
    <xf numFmtId="0" fontId="25" fillId="0" borderId="1" xfId="0" applyFont="1" applyFill="1" applyBorder="1" applyAlignment="1" applyProtection="1">
      <alignment horizontal="right"/>
    </xf>
    <xf numFmtId="49" fontId="21" fillId="0" borderId="1" xfId="0" applyNumberFormat="1" applyFont="1" applyFill="1" applyBorder="1" applyAlignment="1" applyProtection="1">
      <alignment horizontal="left"/>
    </xf>
    <xf numFmtId="49" fontId="21" fillId="0" borderId="3" xfId="0" applyNumberFormat="1" applyFont="1" applyFill="1" applyBorder="1" applyAlignment="1" applyProtection="1">
      <alignment horizontal="left"/>
    </xf>
    <xf numFmtId="0" fontId="8" fillId="0" borderId="2" xfId="0" applyFont="1" applyFill="1" applyBorder="1" applyAlignment="1" applyProtection="1">
      <alignment horizontal="right" wrapText="1" readingOrder="2"/>
    </xf>
    <xf numFmtId="3" fontId="19" fillId="0" borderId="132" xfId="0" applyNumberFormat="1" applyFont="1" applyFill="1" applyBorder="1" applyAlignment="1" applyProtection="1">
      <alignment horizontal="center"/>
    </xf>
    <xf numFmtId="0" fontId="47" fillId="0" borderId="141" xfId="0" applyFont="1" applyFill="1" applyBorder="1" applyAlignment="1" applyProtection="1">
      <alignment horizontal="right"/>
    </xf>
    <xf numFmtId="49" fontId="47" fillId="0" borderId="138" xfId="0" applyNumberFormat="1" applyFont="1" applyFill="1" applyBorder="1" applyAlignment="1" applyProtection="1">
      <alignment horizontal="center"/>
    </xf>
    <xf numFmtId="166" fontId="21" fillId="0" borderId="114" xfId="0" applyNumberFormat="1" applyFont="1" applyFill="1" applyBorder="1" applyAlignment="1" applyProtection="1">
      <alignment horizontal="center"/>
    </xf>
    <xf numFmtId="166" fontId="21" fillId="0" borderId="87" xfId="0" applyNumberFormat="1" applyFont="1" applyFill="1" applyBorder="1" applyAlignment="1" applyProtection="1">
      <alignment horizontal="left"/>
    </xf>
    <xf numFmtId="0" fontId="29" fillId="0" borderId="87" xfId="0" applyFont="1" applyFill="1" applyBorder="1" applyAlignment="1"/>
    <xf numFmtId="3" fontId="29" fillId="0" borderId="87" xfId="0" applyNumberFormat="1" applyFont="1" applyFill="1" applyBorder="1" applyAlignment="1" applyProtection="1">
      <alignment horizontal="center"/>
    </xf>
    <xf numFmtId="3" fontId="19" fillId="0" borderId="87" xfId="0" applyNumberFormat="1" applyFont="1" applyFill="1" applyBorder="1" applyAlignment="1" applyProtection="1">
      <alignment horizontal="center"/>
    </xf>
    <xf numFmtId="3" fontId="19" fillId="0" borderId="90" xfId="0" applyNumberFormat="1" applyFont="1" applyFill="1" applyBorder="1" applyAlignment="1" applyProtection="1">
      <alignment horizontal="center"/>
    </xf>
    <xf numFmtId="3" fontId="9" fillId="0" borderId="151" xfId="0" applyNumberFormat="1" applyFont="1" applyFill="1" applyBorder="1" applyAlignment="1" applyProtection="1">
      <alignment horizontal="center"/>
      <protection locked="0"/>
    </xf>
    <xf numFmtId="166" fontId="21" fillId="0" borderId="134" xfId="0" applyNumberFormat="1" applyFont="1" applyFill="1" applyBorder="1" applyAlignment="1" applyProtection="1">
      <alignment horizontal="center"/>
    </xf>
    <xf numFmtId="0" fontId="29" fillId="0" borderId="3" xfId="0" quotePrefix="1" applyFont="1" applyFill="1" applyBorder="1" applyAlignment="1">
      <alignment horizontal="right"/>
    </xf>
    <xf numFmtId="166" fontId="24" fillId="0" borderId="152" xfId="0" applyNumberFormat="1" applyFont="1" applyFill="1" applyBorder="1" applyAlignment="1" applyProtection="1">
      <alignment horizontal="right"/>
      <protection locked="0"/>
    </xf>
    <xf numFmtId="3" fontId="9" fillId="0" borderId="78" xfId="0" applyNumberFormat="1" applyFont="1" applyFill="1" applyBorder="1" applyAlignment="1" applyProtection="1">
      <alignment horizontal="center"/>
      <protection locked="0"/>
    </xf>
    <xf numFmtId="165" fontId="8" fillId="0" borderId="78" xfId="0" applyNumberFormat="1" applyFont="1" applyFill="1" applyBorder="1" applyAlignment="1" applyProtection="1">
      <alignment horizontal="right" wrapText="1"/>
      <protection locked="0"/>
    </xf>
    <xf numFmtId="166" fontId="24" fillId="0" borderId="144" xfId="0" applyNumberFormat="1" applyFont="1" applyFill="1" applyBorder="1" applyAlignment="1" applyProtection="1">
      <alignment horizontal="right"/>
      <protection locked="0"/>
    </xf>
    <xf numFmtId="166" fontId="24" fillId="0" borderId="48" xfId="0" applyNumberFormat="1" applyFont="1" applyFill="1" applyBorder="1" applyAlignment="1" applyProtection="1">
      <alignment horizontal="right"/>
      <protection locked="0"/>
    </xf>
    <xf numFmtId="0" fontId="24" fillId="0" borderId="24" xfId="0" applyFont="1" applyFill="1" applyBorder="1" applyAlignment="1">
      <alignment horizontal="center"/>
    </xf>
    <xf numFmtId="166" fontId="21" fillId="0" borderId="73" xfId="0" applyNumberFormat="1" applyFont="1" applyFill="1" applyBorder="1" applyAlignment="1" applyProtection="1">
      <alignment horizontal="center"/>
    </xf>
    <xf numFmtId="166" fontId="21" fillId="0" borderId="11" xfId="0" applyNumberFormat="1" applyFont="1" applyFill="1" applyBorder="1" applyAlignment="1" applyProtection="1">
      <alignment horizontal="left"/>
    </xf>
    <xf numFmtId="0" fontId="29" fillId="0" borderId="11" xfId="0" applyFont="1" applyFill="1" applyBorder="1" applyAlignment="1"/>
    <xf numFmtId="3" fontId="25" fillId="0" borderId="11" xfId="0" applyNumberFormat="1" applyFont="1" applyFill="1" applyBorder="1" applyAlignment="1" applyProtection="1">
      <alignment horizontal="center"/>
      <protection locked="0"/>
    </xf>
    <xf numFmtId="3" fontId="18" fillId="0" borderId="27" xfId="0" applyNumberFormat="1" applyFont="1" applyFill="1" applyBorder="1" applyAlignment="1" applyProtection="1">
      <alignment horizontal="center"/>
      <protection locked="0"/>
    </xf>
    <xf numFmtId="0" fontId="24" fillId="0" borderId="0" xfId="0" applyFont="1" applyFill="1" applyAlignment="1">
      <alignment horizontal="right"/>
    </xf>
    <xf numFmtId="1" fontId="24" fillId="0" borderId="0" xfId="0" applyNumberFormat="1" applyFont="1" applyFill="1" applyBorder="1" applyAlignment="1">
      <alignment horizontal="center"/>
    </xf>
    <xf numFmtId="166" fontId="20" fillId="0" borderId="0" xfId="0" applyNumberFormat="1" applyFont="1" applyFill="1" applyAlignment="1">
      <alignment horizontal="center"/>
    </xf>
    <xf numFmtId="166" fontId="20" fillId="0" borderId="0" xfId="0" applyNumberFormat="1" applyFont="1" applyFill="1"/>
    <xf numFmtId="0" fontId="8" fillId="0" borderId="0" xfId="0" applyFont="1" applyFill="1" applyAlignment="1">
      <alignment wrapText="1"/>
    </xf>
    <xf numFmtId="0" fontId="8" fillId="0" borderId="0" xfId="0" applyFont="1" applyFill="1" applyAlignment="1">
      <alignment horizontal="center"/>
    </xf>
    <xf numFmtId="0" fontId="9" fillId="0" borderId="0" xfId="0" applyFont="1" applyFill="1" applyAlignment="1">
      <alignment horizontal="center"/>
    </xf>
    <xf numFmtId="3" fontId="8" fillId="0" borderId="0" xfId="0" applyNumberFormat="1" applyFont="1" applyFill="1" applyAlignment="1">
      <alignment horizontal="center"/>
    </xf>
    <xf numFmtId="170" fontId="9" fillId="0" borderId="0" xfId="37" applyNumberFormat="1" applyFont="1" applyFill="1" applyAlignment="1">
      <alignment horizontal="center"/>
    </xf>
    <xf numFmtId="170" fontId="24" fillId="0" borderId="0" xfId="37" applyNumberFormat="1" applyFont="1" applyFill="1" applyBorder="1" applyAlignment="1">
      <alignment vertical="center"/>
    </xf>
    <xf numFmtId="0" fontId="24" fillId="0" borderId="131" xfId="0" applyFont="1" applyFill="1" applyBorder="1" applyAlignment="1" applyProtection="1">
      <alignment horizontal="right" wrapText="1"/>
      <protection locked="0"/>
    </xf>
    <xf numFmtId="0" fontId="41" fillId="35" borderId="0" xfId="0" applyFont="1" applyFill="1"/>
    <xf numFmtId="0" fontId="8" fillId="0" borderId="0" xfId="39" applyFont="1" applyFill="1" applyBorder="1" applyAlignment="1">
      <alignment horizontal="right"/>
    </xf>
    <xf numFmtId="0" fontId="8" fillId="0" borderId="0" xfId="39" applyFont="1" applyFill="1" applyAlignment="1">
      <alignment horizontal="right" vertical="top" wrapText="1" readingOrder="2"/>
    </xf>
    <xf numFmtId="0" fontId="90" fillId="0" borderId="0" xfId="39" applyFont="1" applyFill="1" applyAlignment="1">
      <alignment horizontal="right" vertical="top" wrapText="1"/>
    </xf>
    <xf numFmtId="0" fontId="90" fillId="0" borderId="0" xfId="39" applyFont="1" applyFill="1" applyBorder="1" applyAlignment="1">
      <alignment wrapText="1"/>
    </xf>
    <xf numFmtId="0" fontId="41" fillId="0" borderId="0" xfId="39" applyFont="1" applyFill="1" applyAlignment="1">
      <alignment horizontal="centerContinuous"/>
    </xf>
    <xf numFmtId="0" fontId="8" fillId="0" borderId="0" xfId="39" applyFont="1" applyFill="1" applyAlignment="1">
      <alignment horizontal="centerContinuous"/>
    </xf>
    <xf numFmtId="0" fontId="43" fillId="0" borderId="0" xfId="39" applyFont="1" applyFill="1" applyAlignment="1">
      <alignment horizontal="centerContinuous"/>
    </xf>
    <xf numFmtId="0" fontId="31" fillId="0" borderId="0" xfId="39" quotePrefix="1" applyFont="1" applyFill="1" applyBorder="1" applyAlignment="1">
      <alignment horizontal="right"/>
    </xf>
    <xf numFmtId="0" fontId="8" fillId="0" borderId="0" xfId="39" applyFont="1" applyFill="1" applyAlignment="1">
      <alignment horizontal="right" readingOrder="2"/>
    </xf>
    <xf numFmtId="0" fontId="28" fillId="0" borderId="0" xfId="39" applyFont="1" applyFill="1" applyAlignment="1">
      <alignment horizontal="right"/>
    </xf>
    <xf numFmtId="0" fontId="8" fillId="0" borderId="0" xfId="39" quotePrefix="1" applyFont="1" applyFill="1" applyAlignment="1">
      <alignment horizontal="right"/>
    </xf>
    <xf numFmtId="0" fontId="8" fillId="0" borderId="0" xfId="0" applyFont="1" applyFill="1" applyBorder="1"/>
    <xf numFmtId="0" fontId="31" fillId="0" borderId="0" xfId="39" applyFont="1" applyFill="1" applyBorder="1" applyAlignment="1">
      <alignment horizontal="right"/>
    </xf>
    <xf numFmtId="0" fontId="8" fillId="0" borderId="0" xfId="39" applyFont="1" applyFill="1" applyBorder="1"/>
    <xf numFmtId="0" fontId="31" fillId="0" borderId="0" xfId="39" quotePrefix="1" applyFont="1" applyFill="1" applyBorder="1" applyAlignment="1">
      <alignment horizontal="right" vertical="top"/>
    </xf>
    <xf numFmtId="0" fontId="90" fillId="0" borderId="0" xfId="39" applyFont="1" applyFill="1" applyBorder="1" applyAlignment="1">
      <alignment horizontal="right" vertical="top" wrapText="1"/>
    </xf>
    <xf numFmtId="0" fontId="90" fillId="0" borderId="0" xfId="39" applyFont="1" applyFill="1" applyAlignment="1">
      <alignment horizontal="right"/>
    </xf>
    <xf numFmtId="0" fontId="8" fillId="0" borderId="0" xfId="39" applyFont="1" applyFill="1" applyBorder="1" applyAlignment="1">
      <alignment horizontal="right" vertical="top" wrapText="1"/>
    </xf>
    <xf numFmtId="0" fontId="8" fillId="0" borderId="0" xfId="39" quotePrefix="1" applyFont="1" applyFill="1" applyAlignment="1">
      <alignment horizontal="right" wrapText="1" readingOrder="2"/>
    </xf>
    <xf numFmtId="0" fontId="8" fillId="0" borderId="0" xfId="39" applyFont="1" applyFill="1" applyAlignment="1">
      <alignment horizontal="right"/>
    </xf>
    <xf numFmtId="0" fontId="31" fillId="0" borderId="0" xfId="39" quotePrefix="1" applyFont="1" applyFill="1" applyAlignment="1">
      <alignment horizontal="right" wrapText="1" readingOrder="2"/>
    </xf>
    <xf numFmtId="0" fontId="8" fillId="0" borderId="0" xfId="0" applyFont="1" applyFill="1" applyAlignment="1">
      <alignment vertical="top"/>
    </xf>
    <xf numFmtId="0" fontId="8" fillId="0" borderId="0" xfId="39" applyFont="1" applyFill="1" applyAlignment="1">
      <alignment vertical="top"/>
    </xf>
    <xf numFmtId="0" fontId="31" fillId="0" borderId="0" xfId="39" quotePrefix="1" applyFont="1" applyFill="1" applyAlignment="1">
      <alignment horizontal="right" vertical="top" wrapText="1" readingOrder="2"/>
    </xf>
    <xf numFmtId="0" fontId="8" fillId="0" borderId="0" xfId="39" applyFont="1" applyFill="1" applyAlignment="1">
      <alignment horizontal="right" wrapText="1"/>
    </xf>
    <xf numFmtId="0" fontId="31" fillId="0" borderId="0" xfId="39" applyFont="1" applyFill="1" applyAlignment="1">
      <alignment horizontal="right" wrapText="1" readingOrder="2"/>
    </xf>
    <xf numFmtId="0" fontId="8" fillId="0" borderId="0" xfId="39" applyNumberFormat="1" applyFont="1" applyFill="1" applyAlignment="1">
      <alignment horizontal="right" vertical="top" wrapText="1" readingOrder="2"/>
    </xf>
    <xf numFmtId="0" fontId="31" fillId="0" borderId="0" xfId="39" applyFont="1" applyFill="1" applyAlignment="1">
      <alignment horizontal="right" vertical="top" wrapText="1"/>
    </xf>
    <xf numFmtId="0" fontId="8" fillId="0" borderId="0" xfId="39" applyNumberFormat="1" applyFont="1" applyFill="1" applyAlignment="1">
      <alignment horizontal="right" vertical="top" wrapText="1"/>
    </xf>
    <xf numFmtId="0" fontId="31" fillId="0" borderId="0" xfId="39" applyFont="1" applyFill="1" applyAlignment="1">
      <alignment wrapText="1"/>
    </xf>
    <xf numFmtId="0" fontId="31" fillId="0" borderId="0" xfId="39" applyFont="1" applyFill="1" applyBorder="1" applyAlignment="1">
      <alignment horizontal="right" wrapText="1"/>
    </xf>
    <xf numFmtId="0" fontId="31" fillId="0" borderId="0" xfId="39" applyFont="1" applyFill="1" applyAlignment="1">
      <alignment horizontal="right" vertical="center" wrapText="1" readingOrder="1"/>
    </xf>
    <xf numFmtId="0" fontId="1" fillId="0" borderId="0" xfId="39" applyFont="1" applyFill="1" applyAlignment="1">
      <alignment horizontal="right" wrapText="1"/>
    </xf>
    <xf numFmtId="166" fontId="24" fillId="35" borderId="25" xfId="0" applyNumberFormat="1" applyFont="1" applyFill="1" applyBorder="1" applyAlignment="1" applyProtection="1">
      <alignment horizontal="center"/>
      <protection locked="0"/>
    </xf>
    <xf numFmtId="0" fontId="53" fillId="35" borderId="0" xfId="39" applyFont="1" applyFill="1"/>
    <xf numFmtId="2" fontId="58" fillId="35" borderId="67" xfId="0" applyNumberFormat="1" applyFont="1" applyFill="1" applyBorder="1" applyAlignment="1" applyProtection="1">
      <alignment horizontal="center"/>
      <protection locked="0"/>
    </xf>
    <xf numFmtId="165" fontId="55" fillId="35" borderId="2" xfId="0" applyNumberFormat="1" applyFont="1" applyFill="1" applyBorder="1" applyAlignment="1" applyProtection="1">
      <alignment horizontal="right" wrapText="1"/>
      <protection locked="0"/>
    </xf>
    <xf numFmtId="165" fontId="55" fillId="35" borderId="2" xfId="0" applyNumberFormat="1" applyFont="1" applyFill="1" applyBorder="1" applyAlignment="1" applyProtection="1">
      <alignment horizontal="right"/>
      <protection locked="0"/>
    </xf>
    <xf numFmtId="0" fontId="58" fillId="35" borderId="47" xfId="0" applyFont="1" applyFill="1" applyBorder="1" applyAlignment="1" applyProtection="1">
      <alignment horizontal="right" wrapText="1"/>
      <protection locked="0"/>
    </xf>
    <xf numFmtId="166" fontId="58" fillId="35" borderId="50" xfId="0" applyNumberFormat="1" applyFont="1" applyFill="1" applyBorder="1" applyAlignment="1" applyProtection="1">
      <alignment horizontal="center"/>
      <protection locked="0"/>
    </xf>
    <xf numFmtId="166" fontId="56" fillId="35" borderId="19" xfId="0" applyNumberFormat="1" applyFont="1" applyFill="1" applyBorder="1" applyAlignment="1" applyProtection="1">
      <alignment horizontal="center"/>
      <protection locked="0"/>
    </xf>
    <xf numFmtId="166" fontId="56" fillId="35" borderId="2" xfId="0" applyNumberFormat="1" applyFont="1" applyFill="1" applyBorder="1" applyAlignment="1" applyProtection="1">
      <alignment horizontal="center"/>
      <protection locked="0"/>
    </xf>
    <xf numFmtId="165" fontId="61" fillId="35" borderId="19" xfId="0" applyNumberFormat="1" applyFont="1" applyFill="1" applyBorder="1" applyAlignment="1" applyProtection="1">
      <alignment horizontal="center"/>
      <protection locked="0"/>
    </xf>
    <xf numFmtId="3" fontId="55" fillId="35" borderId="2" xfId="0" applyNumberFormat="1" applyFont="1" applyFill="1" applyBorder="1" applyAlignment="1" applyProtection="1">
      <alignment horizontal="center"/>
      <protection locked="0"/>
    </xf>
    <xf numFmtId="3" fontId="57" fillId="35" borderId="2" xfId="0" applyNumberFormat="1" applyFont="1" applyFill="1" applyBorder="1" applyAlignment="1" applyProtection="1">
      <alignment horizontal="center"/>
      <protection locked="0"/>
    </xf>
    <xf numFmtId="166" fontId="20" fillId="35" borderId="19" xfId="0" applyNumberFormat="1" applyFont="1" applyFill="1" applyBorder="1" applyAlignment="1" applyProtection="1">
      <alignment horizontal="center"/>
      <protection locked="0"/>
    </xf>
    <xf numFmtId="166" fontId="20" fillId="35" borderId="2" xfId="0" applyNumberFormat="1" applyFont="1" applyFill="1" applyBorder="1" applyAlignment="1" applyProtection="1">
      <alignment horizontal="center"/>
      <protection locked="0"/>
    </xf>
    <xf numFmtId="165" fontId="8" fillId="35" borderId="2" xfId="0" quotePrefix="1" applyNumberFormat="1" applyFont="1" applyFill="1" applyBorder="1" applyAlignment="1" applyProtection="1">
      <alignment horizontal="right" wrapText="1"/>
      <protection locked="0"/>
    </xf>
    <xf numFmtId="165" fontId="8" fillId="0" borderId="2" xfId="0" quotePrefix="1" applyNumberFormat="1" applyFont="1" applyFill="1" applyBorder="1" applyAlignment="1" applyProtection="1">
      <alignment horizontal="right" wrapText="1"/>
      <protection locked="0"/>
    </xf>
    <xf numFmtId="0" fontId="55" fillId="35" borderId="2" xfId="0" applyFont="1" applyFill="1" applyBorder="1" applyAlignment="1" applyProtection="1">
      <alignment horizontal="right" wrapText="1"/>
    </xf>
    <xf numFmtId="0" fontId="8" fillId="35" borderId="0" xfId="0" applyFont="1" applyFill="1" applyBorder="1" applyAlignment="1">
      <alignment horizontal="right" readingOrder="2"/>
    </xf>
    <xf numFmtId="0" fontId="8" fillId="0" borderId="30" xfId="0" applyNumberFormat="1" applyFont="1" applyBorder="1" applyAlignment="1">
      <alignment horizontal="center"/>
    </xf>
    <xf numFmtId="3" fontId="8" fillId="0" borderId="0" xfId="0" applyNumberFormat="1" applyFont="1" applyAlignment="1">
      <alignment horizontal="center"/>
    </xf>
    <xf numFmtId="0" fontId="40" fillId="35" borderId="23" xfId="0" applyFont="1" applyFill="1" applyBorder="1" applyAlignment="1">
      <alignment horizontal="center" vertical="center"/>
    </xf>
    <xf numFmtId="0" fontId="40" fillId="35" borderId="24" xfId="0" applyFont="1" applyFill="1" applyBorder="1" applyAlignment="1">
      <alignment horizontal="center" vertical="center"/>
    </xf>
    <xf numFmtId="0" fontId="10" fillId="35" borderId="0" xfId="0" applyFont="1" applyFill="1" applyAlignment="1">
      <alignment horizontal="center"/>
    </xf>
    <xf numFmtId="0" fontId="33" fillId="35" borderId="80" xfId="0" applyFont="1" applyFill="1" applyBorder="1" applyAlignment="1">
      <alignment horizontal="center" vertical="center"/>
    </xf>
    <xf numFmtId="0" fontId="33" fillId="35" borderId="10" xfId="0" applyFont="1" applyFill="1" applyBorder="1" applyAlignment="1">
      <alignment horizontal="center" vertical="center"/>
    </xf>
    <xf numFmtId="0" fontId="33" fillId="35" borderId="53" xfId="0" applyFont="1" applyFill="1" applyBorder="1" applyAlignment="1">
      <alignment horizontal="center" vertical="center"/>
    </xf>
    <xf numFmtId="0" fontId="33" fillId="35" borderId="11" xfId="0" applyFont="1" applyFill="1" applyBorder="1" applyAlignment="1">
      <alignment horizontal="center" vertical="center"/>
    </xf>
    <xf numFmtId="0" fontId="40" fillId="35" borderId="80" xfId="0" applyFont="1" applyFill="1" applyBorder="1" applyAlignment="1">
      <alignment horizontal="center" vertical="center"/>
    </xf>
    <xf numFmtId="0" fontId="40" fillId="35" borderId="10" xfId="0" applyFont="1" applyFill="1" applyBorder="1" applyAlignment="1">
      <alignment horizontal="center" vertical="center"/>
    </xf>
    <xf numFmtId="0" fontId="40" fillId="35" borderId="53" xfId="0" applyFont="1" applyFill="1" applyBorder="1" applyAlignment="1">
      <alignment horizontal="center" vertical="center"/>
    </xf>
    <xf numFmtId="0" fontId="40" fillId="35" borderId="11" xfId="0" applyFont="1" applyFill="1" applyBorder="1" applyAlignment="1">
      <alignment horizontal="center" vertical="center"/>
    </xf>
    <xf numFmtId="0" fontId="8" fillId="0" borderId="0" xfId="39" applyFont="1" applyFill="1" applyAlignment="1">
      <alignment horizontal="right" wrapText="1" readingOrder="2"/>
    </xf>
    <xf numFmtId="0" fontId="32" fillId="0" borderId="0" xfId="0" applyFont="1" applyAlignment="1">
      <alignment horizontal="center"/>
    </xf>
    <xf numFmtId="0" fontId="25" fillId="0" borderId="0" xfId="0" applyFont="1" applyAlignment="1">
      <alignment horizontal="center"/>
    </xf>
    <xf numFmtId="0" fontId="29" fillId="0" borderId="84" xfId="0" applyFont="1" applyBorder="1" applyAlignment="1">
      <alignment horizontal="center"/>
    </xf>
    <xf numFmtId="0" fontId="29" fillId="0" borderId="20" xfId="0" applyFont="1" applyBorder="1" applyAlignment="1">
      <alignment horizontal="center" vertical="center"/>
    </xf>
    <xf numFmtId="0" fontId="29" fillId="0" borderId="8" xfId="0" applyFont="1" applyBorder="1" applyAlignment="1">
      <alignment horizontal="center" vertical="center"/>
    </xf>
    <xf numFmtId="0" fontId="29" fillId="0" borderId="153" xfId="0" applyFont="1" applyBorder="1" applyAlignment="1">
      <alignment horizontal="center"/>
    </xf>
    <xf numFmtId="0" fontId="29" fillId="0" borderId="154" xfId="0" applyFont="1" applyBorder="1" applyAlignment="1">
      <alignment horizontal="center"/>
    </xf>
    <xf numFmtId="0" fontId="29" fillId="0" borderId="155" xfId="0" applyFont="1" applyBorder="1" applyAlignment="1">
      <alignment horizontal="center"/>
    </xf>
    <xf numFmtId="0" fontId="29" fillId="0" borderId="156" xfId="0" applyFont="1" applyBorder="1" applyAlignment="1">
      <alignment horizontal="center"/>
    </xf>
    <xf numFmtId="0" fontId="19" fillId="35" borderId="157" xfId="0" applyFont="1" applyFill="1" applyBorder="1" applyAlignment="1">
      <alignment horizontal="center" vertical="center"/>
    </xf>
    <xf numFmtId="0" fontId="19" fillId="35" borderId="106" xfId="0" applyFont="1" applyFill="1" applyBorder="1" applyAlignment="1">
      <alignment horizontal="center" vertical="center"/>
    </xf>
    <xf numFmtId="0" fontId="19" fillId="35" borderId="109" xfId="0" applyFont="1" applyFill="1" applyBorder="1" applyAlignment="1">
      <alignment horizontal="center" vertical="center"/>
    </xf>
    <xf numFmtId="0" fontId="19" fillId="35" borderId="71" xfId="0" applyFont="1" applyFill="1" applyBorder="1" applyAlignment="1">
      <alignment horizontal="center" vertical="center"/>
    </xf>
    <xf numFmtId="0" fontId="19" fillId="35" borderId="158" xfId="0" applyFont="1" applyFill="1" applyBorder="1" applyAlignment="1">
      <alignment horizontal="center" vertical="center"/>
    </xf>
    <xf numFmtId="0" fontId="19" fillId="35" borderId="124" xfId="0" applyFont="1" applyFill="1" applyBorder="1" applyAlignment="1">
      <alignment horizontal="center" vertical="center"/>
    </xf>
    <xf numFmtId="0" fontId="19" fillId="35" borderId="20" xfId="0" applyFont="1" applyFill="1" applyBorder="1" applyAlignment="1">
      <alignment horizontal="center" vertical="center"/>
    </xf>
    <xf numFmtId="0" fontId="19" fillId="35" borderId="6" xfId="0" applyFont="1" applyFill="1" applyBorder="1" applyAlignment="1">
      <alignment horizontal="center" vertical="center"/>
    </xf>
    <xf numFmtId="0" fontId="19" fillId="35" borderId="8" xfId="0" applyFont="1" applyFill="1" applyBorder="1" applyAlignment="1">
      <alignment horizontal="center" vertical="center"/>
    </xf>
    <xf numFmtId="0" fontId="29" fillId="35" borderId="153" xfId="0" applyFont="1" applyFill="1" applyBorder="1" applyAlignment="1">
      <alignment horizontal="center"/>
    </xf>
    <xf numFmtId="0" fontId="29" fillId="35" borderId="156" xfId="0" applyFont="1" applyFill="1" applyBorder="1" applyAlignment="1">
      <alignment horizontal="center"/>
    </xf>
    <xf numFmtId="0" fontId="19" fillId="0" borderId="157" xfId="0" applyFont="1" applyBorder="1" applyAlignment="1">
      <alignment horizontal="center" vertical="center"/>
    </xf>
    <xf numFmtId="0" fontId="19" fillId="0" borderId="106" xfId="0" applyFont="1" applyBorder="1" applyAlignment="1">
      <alignment horizontal="center" vertical="center"/>
    </xf>
    <xf numFmtId="0" fontId="19" fillId="0" borderId="109" xfId="0" applyFont="1" applyBorder="1" applyAlignment="1">
      <alignment horizontal="center" vertical="center"/>
    </xf>
    <xf numFmtId="0" fontId="19" fillId="0" borderId="71" xfId="0" applyFont="1" applyBorder="1" applyAlignment="1">
      <alignment horizontal="center" vertical="center"/>
    </xf>
    <xf numFmtId="0" fontId="19" fillId="0" borderId="158" xfId="0" applyFont="1" applyBorder="1" applyAlignment="1">
      <alignment horizontal="center" vertical="center"/>
    </xf>
    <xf numFmtId="0" fontId="19" fillId="0" borderId="124" xfId="0" applyFont="1" applyBorder="1" applyAlignment="1">
      <alignment horizontal="center" vertical="center"/>
    </xf>
    <xf numFmtId="0" fontId="29" fillId="0" borderId="6" xfId="0" applyFont="1" applyBorder="1" applyAlignment="1">
      <alignment horizontal="center" vertical="center"/>
    </xf>
    <xf numFmtId="0" fontId="44" fillId="0" borderId="0" xfId="0" applyFont="1" applyAlignment="1">
      <alignment horizont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70"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71" xfId="0" applyFont="1" applyBorder="1" applyAlignment="1" applyProtection="1">
      <alignment horizontal="center" vertical="center"/>
    </xf>
    <xf numFmtId="0" fontId="5" fillId="0" borderId="74" xfId="0" applyFont="1" applyBorder="1" applyAlignment="1" applyProtection="1">
      <alignment horizontal="center" vertical="center"/>
    </xf>
    <xf numFmtId="9" fontId="20" fillId="0" borderId="0" xfId="0" applyNumberFormat="1" applyFont="1" applyAlignment="1">
      <alignment horizontal="center" vertical="center"/>
    </xf>
    <xf numFmtId="0" fontId="53" fillId="48" borderId="0" xfId="0" applyFont="1" applyFill="1" applyAlignment="1">
      <alignment horizontal="center"/>
    </xf>
    <xf numFmtId="0" fontId="53" fillId="50" borderId="0" xfId="0" applyFont="1" applyFill="1" applyBorder="1" applyAlignment="1">
      <alignment horizontal="center" wrapText="1"/>
    </xf>
    <xf numFmtId="0" fontId="53" fillId="48" borderId="0" xfId="0" applyFont="1" applyFill="1" applyBorder="1" applyAlignment="1">
      <alignment horizontal="center"/>
    </xf>
    <xf numFmtId="2" fontId="97" fillId="40" borderId="159" xfId="0" applyNumberFormat="1" applyFont="1" applyFill="1" applyBorder="1" applyAlignment="1">
      <alignment horizontal="center" vertical="center"/>
    </xf>
    <xf numFmtId="2" fontId="97" fillId="40" borderId="66" xfId="0" applyNumberFormat="1" applyFont="1" applyFill="1" applyBorder="1" applyAlignment="1">
      <alignment horizontal="center" vertical="center"/>
    </xf>
  </cellXfs>
  <cellStyles count="86">
    <cellStyle name="20% - הדגשה1 2" xfId="1"/>
    <cellStyle name="20% - הדגשה1 2 2" xfId="2"/>
    <cellStyle name="20% - הדגשה2 2" xfId="3"/>
    <cellStyle name="20% - הדגשה2 2 2" xfId="4"/>
    <cellStyle name="20% - הדגשה3 2" xfId="5"/>
    <cellStyle name="20% - הדגשה3 2 2" xfId="6"/>
    <cellStyle name="20% - הדגשה4 2" xfId="7"/>
    <cellStyle name="20% - הדגשה4 2 2" xfId="8"/>
    <cellStyle name="20% - הדגשה5 2" xfId="9"/>
    <cellStyle name="20% - הדגשה5 2 2" xfId="10"/>
    <cellStyle name="20% - הדגשה6 2" xfId="11"/>
    <cellStyle name="20% - הדגשה6 2 2" xfId="12"/>
    <cellStyle name="40% - הדגשה1 2" xfId="13"/>
    <cellStyle name="40% - הדגשה1 2 2" xfId="14"/>
    <cellStyle name="40% - הדגשה2 2" xfId="15"/>
    <cellStyle name="40% - הדגשה2 2 2" xfId="16"/>
    <cellStyle name="40% - הדגשה3 2" xfId="17"/>
    <cellStyle name="40% - הדגשה3 2 2" xfId="18"/>
    <cellStyle name="40% - הדגשה4 2" xfId="19"/>
    <cellStyle name="40% - הדגשה4 2 2" xfId="20"/>
    <cellStyle name="40% - הדגשה5 2" xfId="21"/>
    <cellStyle name="40% - הדגשה5 2 2" xfId="22"/>
    <cellStyle name="40% - הדגשה6 2" xfId="23"/>
    <cellStyle name="40% - הדגשה6 2 2" xfId="24"/>
    <cellStyle name="60% - הדגשה1 2" xfId="25"/>
    <cellStyle name="60% - הדגשה1 2 2" xfId="26"/>
    <cellStyle name="60% - הדגשה2 2" xfId="27"/>
    <cellStyle name="60% - הדגשה2 2 2" xfId="28"/>
    <cellStyle name="60% - הדגשה3 2" xfId="29"/>
    <cellStyle name="60% - הדגשה3 2 2" xfId="30"/>
    <cellStyle name="60% - הדגשה4 2" xfId="31"/>
    <cellStyle name="60% - הדגשה4 2 2" xfId="32"/>
    <cellStyle name="60% - הדגשה5 2" xfId="33"/>
    <cellStyle name="60% - הדגשה5 2 2" xfId="34"/>
    <cellStyle name="60% - הדגשה6 2" xfId="35"/>
    <cellStyle name="60% - הדגשה6 2 2" xfId="36"/>
    <cellStyle name="Comma" xfId="37" builtinId="3"/>
    <cellStyle name="Normal" xfId="0" builtinId="0"/>
    <cellStyle name="Normal 2" xfId="38"/>
    <cellStyle name="Normal 5" xfId="39"/>
    <cellStyle name="Percent" xfId="40" builtinId="5"/>
    <cellStyle name="הדגשה1 2" xfId="41"/>
    <cellStyle name="הדגשה1 2 2" xfId="42"/>
    <cellStyle name="הדגשה2 2" xfId="43"/>
    <cellStyle name="הדגשה2 2 2" xfId="44"/>
    <cellStyle name="הדגשה3 2" xfId="45"/>
    <cellStyle name="הדגשה3 2 2" xfId="46"/>
    <cellStyle name="הדגשה4 2" xfId="47"/>
    <cellStyle name="הדגשה4 2 2" xfId="48"/>
    <cellStyle name="הדגשה5 2" xfId="49"/>
    <cellStyle name="הדגשה5 2 2" xfId="50"/>
    <cellStyle name="הדגשה6 2" xfId="51"/>
    <cellStyle name="הדגשה6 2 2" xfId="52"/>
    <cellStyle name="הערה 2" xfId="53"/>
    <cellStyle name="הערה 2 2" xfId="54"/>
    <cellStyle name="חישוב 2" xfId="55"/>
    <cellStyle name="חישוב 2 2" xfId="56"/>
    <cellStyle name="טוב 2" xfId="57"/>
    <cellStyle name="טוב 2 2" xfId="58"/>
    <cellStyle name="טקסט אזהרה 2" xfId="59"/>
    <cellStyle name="טקסט אזהרה 2 2" xfId="60"/>
    <cellStyle name="טקסט הסברי 2" xfId="61"/>
    <cellStyle name="טקסט הסברי 2 2" xfId="62"/>
    <cellStyle name="כותרת" xfId="63" builtinId="15" customBuiltin="1"/>
    <cellStyle name="כותרת 1 2" xfId="64"/>
    <cellStyle name="כותרת 1 2 2" xfId="65"/>
    <cellStyle name="כותרת 2 2" xfId="66"/>
    <cellStyle name="כותרת 2 2 2" xfId="67"/>
    <cellStyle name="כותרת 3 2" xfId="68"/>
    <cellStyle name="כותרת 3 2 2" xfId="69"/>
    <cellStyle name="כותרת 4 2" xfId="70"/>
    <cellStyle name="כותרת 4 2 2" xfId="71"/>
    <cellStyle name="ניטראלי 2" xfId="72"/>
    <cellStyle name="ניטראלי 2 2" xfId="73"/>
    <cellStyle name="סה&quot;כ 2" xfId="74"/>
    <cellStyle name="סה&quot;כ 2 2" xfId="75"/>
    <cellStyle name="פלט 2" xfId="76"/>
    <cellStyle name="פלט 2 2" xfId="77"/>
    <cellStyle name="קלט 2" xfId="78"/>
    <cellStyle name="קלט 2 2" xfId="79"/>
    <cellStyle name="רע 2" xfId="80"/>
    <cellStyle name="רע 2 2" xfId="81"/>
    <cellStyle name="תא מסומן 2" xfId="82"/>
    <cellStyle name="תא מסומן 2 2" xfId="83"/>
    <cellStyle name="תא מקושר 2" xfId="84"/>
    <cellStyle name="תא מקושר 2 2" xfId="85"/>
  </cellStyles>
  <dxfs count="25">
    <dxf>
      <font>
        <color rgb="FF006100"/>
      </font>
      <fill>
        <patternFill>
          <bgColor rgb="FFC6EFCE"/>
        </patternFill>
      </fill>
    </dxf>
    <dxf>
      <fill>
        <patternFill>
          <bgColor theme="5" tint="0.39994506668294322"/>
        </patternFill>
      </fill>
    </dxf>
    <dxf>
      <font>
        <color rgb="FF006100"/>
      </font>
      <fill>
        <patternFill>
          <bgColor rgb="FFC6EFCE"/>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ill>
        <patternFill>
          <bgColor theme="5" tint="0.39994506668294322"/>
        </patternFill>
      </fill>
    </dxf>
    <dxf>
      <font>
        <color rgb="FF006100"/>
      </font>
      <fill>
        <patternFill>
          <bgColor rgb="FFC6EFCE"/>
        </patternFill>
      </fill>
    </dxf>
    <dxf>
      <fill>
        <patternFill>
          <bgColor theme="5" tint="0.39994506668294322"/>
        </patternFill>
      </fill>
    </dxf>
    <dxf>
      <font>
        <color rgb="FF006100"/>
      </font>
      <fill>
        <patternFill>
          <bgColor rgb="FFC6EFCE"/>
        </patternFill>
      </fill>
    </dxf>
    <dxf>
      <fill>
        <patternFill>
          <bgColor theme="5"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280"/>
      <c:rAngAx val="0"/>
      <c:perspective val="0"/>
    </c:view3D>
    <c:floor>
      <c:thickness val="0"/>
    </c:floor>
    <c:sideWall>
      <c:thickness val="0"/>
    </c:sideWall>
    <c:backWall>
      <c:thickness val="0"/>
    </c:backWall>
    <c:plotArea>
      <c:layout>
        <c:manualLayout>
          <c:layoutTarget val="inner"/>
          <c:xMode val="edge"/>
          <c:yMode val="edge"/>
          <c:x val="0.12472160356347439"/>
          <c:y val="0.13394934273661088"/>
          <c:w val="0.75501113585746105"/>
          <c:h val="0.73441191362486646"/>
        </c:manualLayout>
      </c:layout>
      <c:pie3DChart>
        <c:varyColors val="1"/>
        <c:ser>
          <c:idx val="0"/>
          <c:order val="0"/>
          <c:explosion val="14"/>
          <c:dPt>
            <c:idx val="0"/>
            <c:bubble3D val="0"/>
            <c:extLst>
              <c:ext xmlns:c16="http://schemas.microsoft.com/office/drawing/2014/chart" uri="{C3380CC4-5D6E-409C-BE32-E72D297353CC}">
                <c16:uniqueId val="{00000000-678F-40C1-A0AA-417879378F85}"/>
              </c:ext>
            </c:extLst>
          </c:dPt>
          <c:dPt>
            <c:idx val="1"/>
            <c:bubble3D val="0"/>
            <c:spPr>
              <a:solidFill>
                <a:srgbClr val="00B050"/>
              </a:solidFill>
            </c:spPr>
            <c:extLst>
              <c:ext xmlns:c16="http://schemas.microsoft.com/office/drawing/2014/chart" uri="{C3380CC4-5D6E-409C-BE32-E72D297353CC}">
                <c16:uniqueId val="{00000001-678F-40C1-A0AA-417879378F85}"/>
              </c:ext>
            </c:extLst>
          </c:dPt>
          <c:dLbls>
            <c:dLbl>
              <c:idx val="0"/>
              <c:layout>
                <c:manualLayout>
                  <c:x val="-0.25708170024847743"/>
                  <c:y val="0.1500820274659318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78F-40C1-A0AA-417879378F85}"/>
                </c:ext>
              </c:extLst>
            </c:dLbl>
            <c:dLbl>
              <c:idx val="1"/>
              <c:layout>
                <c:manualLayout>
                  <c:x val="0.18121275964676051"/>
                  <c:y val="-0.11318433070604707"/>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8F-40C1-A0AA-417879378F85}"/>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(סעיפים!$B$28,סעיפים!$B$32)</c:f>
              <c:strCache>
                <c:ptCount val="2"/>
                <c:pt idx="0">
                  <c:v>עצמיים:</c:v>
                </c:pt>
                <c:pt idx="1">
                  <c:v>סה"כ משרדי ממשלה ייעודיים:</c:v>
                </c:pt>
              </c:strCache>
            </c:strRef>
          </c:cat>
          <c:val>
            <c:numRef>
              <c:f>(סעיפים!$D$28,סעיפים!$D$32)</c:f>
              <c:numCache>
                <c:formatCode>0.0%</c:formatCode>
                <c:ptCount val="2"/>
                <c:pt idx="0">
                  <c:v>0.73322038834951453</c:v>
                </c:pt>
                <c:pt idx="1">
                  <c:v>0.26677961165048547</c:v>
                </c:pt>
              </c:numCache>
            </c:numRef>
          </c:val>
          <c:extLst>
            <c:ext xmlns:c16="http://schemas.microsoft.com/office/drawing/2014/chart" uri="{C3380CC4-5D6E-409C-BE32-E72D297353CC}">
              <c16:uniqueId val="{00000002-678F-40C1-A0AA-417879378F8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5"/>
      <c:rotY val="140"/>
      <c:rAngAx val="0"/>
      <c:perspective val="0"/>
    </c:view3D>
    <c:floor>
      <c:thickness val="0"/>
    </c:floor>
    <c:sideWall>
      <c:thickness val="0"/>
    </c:sideWall>
    <c:backWall>
      <c:thickness val="0"/>
    </c:backWall>
    <c:plotArea>
      <c:layout>
        <c:manualLayout>
          <c:layoutTarget val="inner"/>
          <c:xMode val="edge"/>
          <c:yMode val="edge"/>
          <c:x val="1.3227547400864442E-2"/>
          <c:y val="4.1782729805013928E-2"/>
          <c:w val="0.97090197922345001"/>
          <c:h val="0.92200557103064062"/>
        </c:manualLayout>
      </c:layout>
      <c:pie3DChart>
        <c:varyColors val="1"/>
        <c:ser>
          <c:idx val="0"/>
          <c:order val="0"/>
          <c:explosion val="16"/>
          <c:dPt>
            <c:idx val="0"/>
            <c:bubble3D val="0"/>
            <c:extLst>
              <c:ext xmlns:c16="http://schemas.microsoft.com/office/drawing/2014/chart" uri="{C3380CC4-5D6E-409C-BE32-E72D297353CC}">
                <c16:uniqueId val="{00000000-0B26-4FDE-8D79-4EF20867B3F3}"/>
              </c:ext>
            </c:extLst>
          </c:dPt>
          <c:dPt>
            <c:idx val="1"/>
            <c:bubble3D val="0"/>
            <c:spPr>
              <a:solidFill>
                <a:srgbClr val="FF0000"/>
              </a:solidFill>
            </c:spPr>
            <c:extLst>
              <c:ext xmlns:c16="http://schemas.microsoft.com/office/drawing/2014/chart" uri="{C3380CC4-5D6E-409C-BE32-E72D297353CC}">
                <c16:uniqueId val="{00000001-0B26-4FDE-8D79-4EF20867B3F3}"/>
              </c:ext>
            </c:extLst>
          </c:dPt>
          <c:dPt>
            <c:idx val="2"/>
            <c:bubble3D val="0"/>
            <c:extLst>
              <c:ext xmlns:c16="http://schemas.microsoft.com/office/drawing/2014/chart" uri="{C3380CC4-5D6E-409C-BE32-E72D297353CC}">
                <c16:uniqueId val="{00000002-0B26-4FDE-8D79-4EF20867B3F3}"/>
              </c:ext>
            </c:extLst>
          </c:dPt>
          <c:dLbls>
            <c:dLbl>
              <c:idx val="0"/>
              <c:layout>
                <c:manualLayout>
                  <c:x val="0.17279350104239671"/>
                  <c:y val="-0.21513624167452605"/>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6-4FDE-8D79-4EF20867B3F3}"/>
                </c:ext>
              </c:extLst>
            </c:dLbl>
            <c:dLbl>
              <c:idx val="1"/>
              <c:layout>
                <c:manualLayout>
                  <c:x val="-0.23808468385896209"/>
                  <c:y val="0.20145373193253349"/>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6-4FDE-8D79-4EF20867B3F3}"/>
                </c:ext>
              </c:extLst>
            </c:dLbl>
            <c:dLbl>
              <c:idx val="2"/>
              <c:layout>
                <c:manualLayout>
                  <c:x val="5.6704082202490647E-3"/>
                  <c:y val="-9.2764654418197728E-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6-4FDE-8D79-4EF20867B3F3}"/>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(סעיפים!$B$38,סעיפים!$B$39,סעיפים!$B$41)</c:f>
              <c:strCache>
                <c:ptCount val="3"/>
                <c:pt idx="0">
                  <c:v>שכר:</c:v>
                </c:pt>
                <c:pt idx="1">
                  <c:v>פעולות:</c:v>
                </c:pt>
                <c:pt idx="2">
                  <c:v>פרעון מלוות:</c:v>
                </c:pt>
              </c:strCache>
            </c:strRef>
          </c:cat>
          <c:val>
            <c:numRef>
              <c:f>(סעיפים!$D$38,סעיפים!$D$39,סעיפים!$D$41)</c:f>
              <c:numCache>
                <c:formatCode>0.0%</c:formatCode>
                <c:ptCount val="3"/>
                <c:pt idx="0">
                  <c:v>0.4512135906346027</c:v>
                </c:pt>
                <c:pt idx="1">
                  <c:v>0.53635922486318222</c:v>
                </c:pt>
                <c:pt idx="2">
                  <c:v>1.24271845022151E-2</c:v>
                </c:pt>
              </c:numCache>
            </c:numRef>
          </c:val>
          <c:extLst>
            <c:ext xmlns:c16="http://schemas.microsoft.com/office/drawing/2014/chart" uri="{C3380CC4-5D6E-409C-BE32-E72D297353CC}">
              <c16:uniqueId val="{00000003-0B26-4FDE-8D79-4EF20867B3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360"/>
      <c:rAngAx val="0"/>
      <c:perspective val="0"/>
    </c:view3D>
    <c:floor>
      <c:thickness val="0"/>
    </c:floor>
    <c:sideWall>
      <c:thickness val="0"/>
    </c:sideWall>
    <c:backWall>
      <c:thickness val="0"/>
    </c:backWall>
    <c:plotArea>
      <c:layout>
        <c:manualLayout>
          <c:layoutTarget val="inner"/>
          <c:xMode val="edge"/>
          <c:yMode val="edge"/>
          <c:x val="8.8622806314795979E-2"/>
          <c:y val="8.155339805825243E-2"/>
          <c:w val="0.82275497213871407"/>
          <c:h val="0.83300970873786406"/>
        </c:manualLayout>
      </c:layout>
      <c:pie3DChart>
        <c:varyColors val="1"/>
        <c:ser>
          <c:idx val="0"/>
          <c:order val="0"/>
          <c:dPt>
            <c:idx val="0"/>
            <c:bubble3D val="0"/>
            <c:extLst>
              <c:ext xmlns:c16="http://schemas.microsoft.com/office/drawing/2014/chart" uri="{C3380CC4-5D6E-409C-BE32-E72D297353CC}">
                <c16:uniqueId val="{00000000-8F89-41A5-BAB0-84EDFD6DC6B5}"/>
              </c:ext>
            </c:extLst>
          </c:dPt>
          <c:dPt>
            <c:idx val="1"/>
            <c:bubble3D val="0"/>
            <c:extLst>
              <c:ext xmlns:c16="http://schemas.microsoft.com/office/drawing/2014/chart" uri="{C3380CC4-5D6E-409C-BE32-E72D297353CC}">
                <c16:uniqueId val="{00000001-8F89-41A5-BAB0-84EDFD6DC6B5}"/>
              </c:ext>
            </c:extLst>
          </c:dPt>
          <c:dPt>
            <c:idx val="2"/>
            <c:bubble3D val="0"/>
            <c:extLst>
              <c:ext xmlns:c16="http://schemas.microsoft.com/office/drawing/2014/chart" uri="{C3380CC4-5D6E-409C-BE32-E72D297353CC}">
                <c16:uniqueId val="{00000002-8F89-41A5-BAB0-84EDFD6DC6B5}"/>
              </c:ext>
            </c:extLst>
          </c:dPt>
          <c:dPt>
            <c:idx val="3"/>
            <c:bubble3D val="0"/>
            <c:extLst>
              <c:ext xmlns:c16="http://schemas.microsoft.com/office/drawing/2014/chart" uri="{C3380CC4-5D6E-409C-BE32-E72D297353CC}">
                <c16:uniqueId val="{00000003-8F89-41A5-BAB0-84EDFD6DC6B5}"/>
              </c:ext>
            </c:extLst>
          </c:dPt>
          <c:dPt>
            <c:idx val="4"/>
            <c:bubble3D val="0"/>
            <c:extLst>
              <c:ext xmlns:c16="http://schemas.microsoft.com/office/drawing/2014/chart" uri="{C3380CC4-5D6E-409C-BE32-E72D297353CC}">
                <c16:uniqueId val="{00000004-8F89-41A5-BAB0-84EDFD6DC6B5}"/>
              </c:ext>
            </c:extLst>
          </c:dPt>
          <c:dPt>
            <c:idx val="5"/>
            <c:bubble3D val="0"/>
            <c:spPr>
              <a:solidFill>
                <a:schemeClr val="accent1">
                  <a:lumMod val="20000"/>
                  <a:lumOff val="80000"/>
                </a:schemeClr>
              </a:solidFill>
            </c:spPr>
            <c:extLst>
              <c:ext xmlns:c16="http://schemas.microsoft.com/office/drawing/2014/chart" uri="{C3380CC4-5D6E-409C-BE32-E72D297353CC}">
                <c16:uniqueId val="{00000005-8F89-41A5-BAB0-84EDFD6DC6B5}"/>
              </c:ext>
            </c:extLst>
          </c:dPt>
          <c:dPt>
            <c:idx val="6"/>
            <c:bubble3D val="0"/>
            <c:spPr>
              <a:solidFill>
                <a:srgbClr val="00B050"/>
              </a:solidFill>
            </c:spPr>
            <c:extLst>
              <c:ext xmlns:c16="http://schemas.microsoft.com/office/drawing/2014/chart" uri="{C3380CC4-5D6E-409C-BE32-E72D297353CC}">
                <c16:uniqueId val="{00000006-8F89-41A5-BAB0-84EDFD6DC6B5}"/>
              </c:ext>
            </c:extLst>
          </c:dPt>
          <c:dPt>
            <c:idx val="7"/>
            <c:bubble3D val="0"/>
            <c:spPr>
              <a:solidFill>
                <a:srgbClr val="FF0000"/>
              </a:solidFill>
            </c:spPr>
            <c:extLst>
              <c:ext xmlns:c16="http://schemas.microsoft.com/office/drawing/2014/chart" uri="{C3380CC4-5D6E-409C-BE32-E72D297353CC}">
                <c16:uniqueId val="{00000007-8F89-41A5-BAB0-84EDFD6DC6B5}"/>
              </c:ext>
            </c:extLst>
          </c:dPt>
          <c:dPt>
            <c:idx val="8"/>
            <c:bubble3D val="0"/>
            <c:spPr>
              <a:solidFill>
                <a:srgbClr val="FFFF00"/>
              </a:solidFill>
            </c:spPr>
            <c:extLst>
              <c:ext xmlns:c16="http://schemas.microsoft.com/office/drawing/2014/chart" uri="{C3380CC4-5D6E-409C-BE32-E72D297353CC}">
                <c16:uniqueId val="{00000008-8F89-41A5-BAB0-84EDFD6DC6B5}"/>
              </c:ext>
            </c:extLst>
          </c:dPt>
          <c:dPt>
            <c:idx val="9"/>
            <c:bubble3D val="0"/>
            <c:spPr>
              <a:solidFill>
                <a:srgbClr val="002060"/>
              </a:solidFill>
            </c:spPr>
            <c:extLst>
              <c:ext xmlns:c16="http://schemas.microsoft.com/office/drawing/2014/chart" uri="{C3380CC4-5D6E-409C-BE32-E72D297353CC}">
                <c16:uniqueId val="{00000009-8F89-41A5-BAB0-84EDFD6DC6B5}"/>
              </c:ext>
            </c:extLst>
          </c:dPt>
          <c:dPt>
            <c:idx val="10"/>
            <c:bubble3D val="0"/>
            <c:spPr>
              <a:solidFill>
                <a:srgbClr val="00B0F0"/>
              </a:solidFill>
            </c:spPr>
            <c:extLst>
              <c:ext xmlns:c16="http://schemas.microsoft.com/office/drawing/2014/chart" uri="{C3380CC4-5D6E-409C-BE32-E72D297353CC}">
                <c16:uniqueId val="{0000000A-8F89-41A5-BAB0-84EDFD6DC6B5}"/>
              </c:ext>
            </c:extLst>
          </c:dPt>
          <c:dPt>
            <c:idx val="11"/>
            <c:bubble3D val="0"/>
            <c:extLst>
              <c:ext xmlns:c16="http://schemas.microsoft.com/office/drawing/2014/chart" uri="{C3380CC4-5D6E-409C-BE32-E72D297353CC}">
                <c16:uniqueId val="{0000000B-8F89-41A5-BAB0-84EDFD6DC6B5}"/>
              </c:ext>
            </c:extLst>
          </c:dPt>
          <c:dPt>
            <c:idx val="12"/>
            <c:bubble3D val="0"/>
            <c:extLst>
              <c:ext xmlns:c16="http://schemas.microsoft.com/office/drawing/2014/chart" uri="{C3380CC4-5D6E-409C-BE32-E72D297353CC}">
                <c16:uniqueId val="{0000000C-8F89-41A5-BAB0-84EDFD6DC6B5}"/>
              </c:ext>
            </c:extLst>
          </c:dPt>
          <c:dPt>
            <c:idx val="13"/>
            <c:bubble3D val="0"/>
            <c:extLst>
              <c:ext xmlns:c16="http://schemas.microsoft.com/office/drawing/2014/chart" uri="{C3380CC4-5D6E-409C-BE32-E72D297353CC}">
                <c16:uniqueId val="{0000000D-8F89-41A5-BAB0-84EDFD6DC6B5}"/>
              </c:ext>
            </c:extLst>
          </c:dPt>
          <c:dLbls>
            <c:dLbl>
              <c:idx val="0"/>
              <c:layout>
                <c:manualLayout>
                  <c:x val="8.3100279664402713E-2"/>
                  <c:y val="-5.9546925566343042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89-41A5-BAB0-84EDFD6DC6B5}"/>
                </c:ext>
              </c:extLst>
            </c:dLbl>
            <c:dLbl>
              <c:idx val="1"/>
              <c:layout>
                <c:manualLayout>
                  <c:x val="0.12784658409908109"/>
                  <c:y val="-5.1779935275080902E-2"/>
                </c:manualLayout>
              </c:layout>
              <c:tx>
                <c:rich>
                  <a:bodyPr/>
                  <a:lstStyle/>
                  <a:p>
                    <a:pPr>
                      <a:defRPr sz="1000" b="0" i="0" u="none" strike="noStrike" baseline="0">
                        <a:solidFill>
                          <a:srgbClr val="000000"/>
                        </a:solidFill>
                        <a:latin typeface="David"/>
                        <a:ea typeface="David"/>
                        <a:cs typeface="David"/>
                      </a:defRPr>
                    </a:pPr>
                    <a:r>
                      <a:rPr lang="he-IL"/>
                      <a:t>מינהל כספי , 4.0%</a:t>
                    </a:r>
                  </a:p>
                </c:rich>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89-41A5-BAB0-84EDFD6DC6B5}"/>
                </c:ext>
              </c:extLst>
            </c:dLbl>
            <c:dLbl>
              <c:idx val="2"/>
              <c:layout>
                <c:manualLayout>
                  <c:x val="4.314822213343987E-2"/>
                  <c:y val="-5.1779935275080909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89-41A5-BAB0-84EDFD6DC6B5}"/>
                </c:ext>
              </c:extLst>
            </c:dLbl>
            <c:dLbl>
              <c:idx val="3"/>
              <c:layout>
                <c:manualLayout>
                  <c:x val="-7.9904115061925681E-3"/>
                  <c:y val="-8.5436893203883493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89-41A5-BAB0-84EDFD6DC6B5}"/>
                </c:ext>
              </c:extLst>
            </c:dLbl>
            <c:dLbl>
              <c:idx val="4"/>
              <c:layout>
                <c:manualLayout>
                  <c:x val="-6.2671367019193104E-3"/>
                  <c:y val="-0.14757281553398058"/>
                </c:manualLayout>
              </c:layout>
              <c:tx>
                <c:rich>
                  <a:bodyPr/>
                  <a:lstStyle/>
                  <a:p>
                    <a:pPr>
                      <a:defRPr sz="1000" b="0" i="0" u="none" strike="noStrike" baseline="0">
                        <a:solidFill>
                          <a:srgbClr val="000000"/>
                        </a:solidFill>
                        <a:latin typeface="David"/>
                        <a:ea typeface="David"/>
                        <a:cs typeface="David"/>
                      </a:defRPr>
                    </a:pPr>
                    <a:r>
                      <a:rPr lang="he-IL"/>
                      <a:t>תב"ל (תחזוקה, בטיחות ולוגיסטיקה), 5.4%</a:t>
                    </a:r>
                  </a:p>
                </c:rich>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89-41A5-BAB0-84EDFD6DC6B5}"/>
                </c:ext>
              </c:extLst>
            </c:dLbl>
            <c:dLbl>
              <c:idx val="5"/>
              <c:layout>
                <c:manualLayout>
                  <c:x val="0"/>
                  <c:y val="-0.13462783171521037"/>
                </c:manualLayout>
              </c:layout>
              <c:tx>
                <c:rich>
                  <a:bodyPr/>
                  <a:lstStyle/>
                  <a:p>
                    <a:pPr>
                      <a:defRPr sz="1000" b="0" i="0" u="none" strike="noStrike" baseline="0">
                        <a:solidFill>
                          <a:srgbClr val="000000"/>
                        </a:solidFill>
                        <a:latin typeface="David"/>
                        <a:ea typeface="David"/>
                        <a:cs typeface="David"/>
                      </a:defRPr>
                    </a:pPr>
                    <a:r>
                      <a:rPr lang="he-IL"/>
                      <a:t>רשות החופים , 2%</a:t>
                    </a:r>
                  </a:p>
                </c:rich>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89-41A5-BAB0-84EDFD6DC6B5}"/>
                </c:ext>
              </c:extLst>
            </c:dLbl>
            <c:dLbl>
              <c:idx val="6"/>
              <c:layout>
                <c:manualLayout>
                  <c:x val="1.3412566337717691E-2"/>
                  <c:y val="2.2793975995719078E-2"/>
                </c:manualLayout>
              </c:layout>
              <c:tx>
                <c:rich>
                  <a:bodyPr/>
                  <a:lstStyle/>
                  <a:p>
                    <a:pPr>
                      <a:defRPr sz="1000" b="0" i="0" u="none" strike="noStrike" baseline="0">
                        <a:solidFill>
                          <a:srgbClr val="000000"/>
                        </a:solidFill>
                        <a:latin typeface="David"/>
                        <a:ea typeface="David"/>
                        <a:cs typeface="David"/>
                      </a:defRPr>
                    </a:pPr>
                    <a:r>
                      <a:rPr lang="he-IL"/>
                      <a:t>כללי  ושונות, 6%</a:t>
                    </a:r>
                  </a:p>
                </c:rich>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89-41A5-BAB0-84EDFD6DC6B5}"/>
                </c:ext>
              </c:extLst>
            </c:dLbl>
            <c:dLbl>
              <c:idx val="7"/>
              <c:layout>
                <c:manualLayout>
                  <c:x val="-7.9904115061925698E-2"/>
                  <c:y val="1.5533980582524271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89-41A5-BAB0-84EDFD6DC6B5}"/>
                </c:ext>
              </c:extLst>
            </c:dLbl>
            <c:dLbl>
              <c:idx val="8"/>
              <c:layout>
                <c:manualLayout>
                  <c:x val="3.1936127744510976E-3"/>
                  <c:y val="1.0355783197003287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89-41A5-BAB0-84EDFD6DC6B5}"/>
                </c:ext>
              </c:extLst>
            </c:dLbl>
            <c:dLbl>
              <c:idx val="9"/>
              <c:layout>
                <c:manualLayout>
                  <c:x val="-0.11186576108669596"/>
                  <c:y val="4.9190938511326859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89-41A5-BAB0-84EDFD6DC6B5}"/>
                </c:ext>
              </c:extLst>
            </c:dLbl>
            <c:dLbl>
              <c:idx val="10"/>
              <c:layout>
                <c:manualLayout>
                  <c:x val="-0.17898521773871354"/>
                  <c:y val="2.84789644012945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89-41A5-BAB0-84EDFD6DC6B5}"/>
                </c:ext>
              </c:extLst>
            </c:dLbl>
            <c:dLbl>
              <c:idx val="11"/>
              <c:layout>
                <c:manualLayout>
                  <c:x val="-0.18857371154614463"/>
                  <c:y val="-4.6601941747572817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89-41A5-BAB0-84EDFD6DC6B5}"/>
                </c:ext>
              </c:extLst>
            </c:dLbl>
            <c:dLbl>
              <c:idx val="12"/>
              <c:layout>
                <c:manualLayout>
                  <c:x val="-6.5521374350779066E-2"/>
                  <c:y val="-5.6957928802589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89-41A5-BAB0-84EDFD6DC6B5}"/>
                </c:ext>
              </c:extLst>
            </c:dLbl>
            <c:dLbl>
              <c:idx val="13"/>
              <c:layout>
                <c:manualLayout>
                  <c:x val="4.7942469037155412E-2"/>
                  <c:y val="-5.4368932038834951E-2"/>
                </c:manualLayout>
              </c:layout>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89-41A5-BAB0-84EDFD6DC6B5}"/>
                </c:ext>
              </c:extLst>
            </c:dLbl>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wrap="square" lIns="38100" tIns="19050" rIns="38100" bIns="19050" anchor="ctr">
                <a:spAutoFit/>
              </a:bodyPr>
              <a:lstStyle/>
              <a:p>
                <a:pPr>
                  <a:defRPr sz="1000" b="0" i="0" u="none" strike="noStrike" baseline="0">
                    <a:solidFill>
                      <a:srgbClr val="000000"/>
                    </a:solidFill>
                    <a:latin typeface="David"/>
                    <a:ea typeface="David"/>
                    <a:cs typeface="David"/>
                  </a:defRPr>
                </a:pPr>
                <a:endParaRPr lang="he-I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יחידתי!$C$16:$C$29</c:f>
              <c:strCache>
                <c:ptCount val="14"/>
                <c:pt idx="0">
                  <c:v>מינהל כללי</c:v>
                </c:pt>
                <c:pt idx="1">
                  <c:v>מינהל כספי</c:v>
                </c:pt>
                <c:pt idx="2">
                  <c:v>שאיפ"ה (שיפור, איכות ופיתוח העיר)</c:v>
                </c:pt>
                <c:pt idx="3">
                  <c:v>מינהל הנדסה</c:v>
                </c:pt>
                <c:pt idx="4">
                  <c:v>תב"ל (תחזוקה, בטיחות ולוגיסטיקה)</c:v>
                </c:pt>
                <c:pt idx="5">
                  <c:v>רשות החופים</c:v>
                </c:pt>
                <c:pt idx="6">
                  <c:v>כללי, הקצבות, פנסיה (להוציא חינוך ורווחה) ושונות</c:v>
                </c:pt>
                <c:pt idx="7">
                  <c:v>חינוך (כולל בריאות)</c:v>
                </c:pt>
                <c:pt idx="8">
                  <c:v>תנו"ס (תרבות, נוער וספורט)</c:v>
                </c:pt>
                <c:pt idx="9">
                  <c:v>רווחה</c:v>
                </c:pt>
                <c:pt idx="10">
                  <c:v>בטחון, פיקוח וסד"צ</c:v>
                </c:pt>
                <c:pt idx="11">
                  <c:v>תקשוב ומערכות מידע</c:v>
                </c:pt>
                <c:pt idx="12">
                  <c:v>משאבי אנוש</c:v>
                </c:pt>
                <c:pt idx="13">
                  <c:v>דוברות וארועים</c:v>
                </c:pt>
              </c:strCache>
            </c:strRef>
          </c:cat>
          <c:val>
            <c:numRef>
              <c:f>יחידתי!$G$16:$G$29</c:f>
              <c:numCache>
                <c:formatCode>0.0%</c:formatCode>
                <c:ptCount val="14"/>
                <c:pt idx="0">
                  <c:v>5.6580381649278082E-2</c:v>
                </c:pt>
                <c:pt idx="1">
                  <c:v>3.9770488492256832E-2</c:v>
                </c:pt>
                <c:pt idx="2">
                  <c:v>0.11537518376244556</c:v>
                </c:pt>
                <c:pt idx="3">
                  <c:v>2.7556067996927485E-2</c:v>
                </c:pt>
                <c:pt idx="4">
                  <c:v>5.3790610104141511E-2</c:v>
                </c:pt>
                <c:pt idx="5">
                  <c:v>1.9839656318925768E-2</c:v>
                </c:pt>
                <c:pt idx="6">
                  <c:v>6.0384612430469338E-2</c:v>
                </c:pt>
                <c:pt idx="7">
                  <c:v>0.3691857064635895</c:v>
                </c:pt>
                <c:pt idx="8">
                  <c:v>7.6605533671993922E-2</c:v>
                </c:pt>
                <c:pt idx="9">
                  <c:v>0.1205198075472222</c:v>
                </c:pt>
                <c:pt idx="10">
                  <c:v>3.2207084569923765E-2</c:v>
                </c:pt>
                <c:pt idx="11">
                  <c:v>1.6554181565355843E-2</c:v>
                </c:pt>
                <c:pt idx="12">
                  <c:v>5.9547264911592743E-3</c:v>
                </c:pt>
                <c:pt idx="13">
                  <c:v>5.6759589363109169E-3</c:v>
                </c:pt>
              </c:numCache>
            </c:numRef>
          </c:val>
          <c:extLst>
            <c:ext xmlns:c16="http://schemas.microsoft.com/office/drawing/2014/chart" uri="{C3380CC4-5D6E-409C-BE32-E72D297353CC}">
              <c16:uniqueId val="{0000000E-8F89-41A5-BAB0-84EDFD6DC6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0"/>
      <c:rotY val="20"/>
      <c:depthPercent val="200"/>
      <c:rAngAx val="1"/>
    </c:view3D>
    <c:floor>
      <c:thickness val="0"/>
    </c:floor>
    <c:sideWall>
      <c:thickness val="0"/>
    </c:sideWall>
    <c:backWall>
      <c:thickness val="0"/>
    </c:backWall>
    <c:plotArea>
      <c:layout>
        <c:manualLayout>
          <c:layoutTarget val="inner"/>
          <c:xMode val="edge"/>
          <c:yMode val="edge"/>
          <c:x val="2.3337222870478413E-2"/>
          <c:y val="1.9193857965451054E-2"/>
          <c:w val="0.97199533255542592"/>
          <c:h val="0.91938579654510555"/>
        </c:manualLayout>
      </c:layout>
      <c:bar3DChart>
        <c:barDir val="col"/>
        <c:grouping val="clustered"/>
        <c:varyColors val="0"/>
        <c:ser>
          <c:idx val="0"/>
          <c:order val="0"/>
          <c:tx>
            <c:strRef>
              <c:f>פרקים!$D$75</c:f>
              <c:strCache>
                <c:ptCount val="1"/>
                <c:pt idx="0">
                  <c:v>תקבולים</c:v>
                </c:pt>
              </c:strCache>
            </c:strRef>
          </c:tx>
          <c:invertIfNegative val="0"/>
          <c:dLbls>
            <c:dLbl>
              <c:idx val="0"/>
              <c:layout>
                <c:manualLayout>
                  <c:x val="4.0340164626070277E-2"/>
                  <c:y val="-1.5355086372360844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73-4070-A12E-FA12DF32ECE5}"/>
                </c:ext>
              </c:extLst>
            </c:dLbl>
            <c:dLbl>
              <c:idx val="1"/>
              <c:layout>
                <c:manualLayout>
                  <c:x val="-3.8817721029326145E-2"/>
                  <c:y val="-4.862444017914276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73-4070-A12E-FA12DF32ECE5}"/>
                </c:ext>
              </c:extLst>
            </c:dLbl>
            <c:dLbl>
              <c:idx val="2"/>
              <c:layout>
                <c:manualLayout>
                  <c:x val="-4.0370429870499193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73-4070-A12E-FA12DF32ECE5}"/>
                </c:ext>
              </c:extLst>
            </c:dLbl>
            <c:dLbl>
              <c:idx val="3"/>
              <c:layout>
                <c:manualLayout>
                  <c:x val="-3.7264838939728956E-2"/>
                  <c:y val="-3.582853486884206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73-4070-A12E-FA12DF32ECE5}"/>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(פרקים!$C$77,פרקים!$C$83,פרקים!$C$93,פרקים!$C$101)</c:f>
              <c:strCache>
                <c:ptCount val="4"/>
                <c:pt idx="0">
                  <c:v>מיסים, מינהל ומימון</c:v>
                </c:pt>
                <c:pt idx="1">
                  <c:v>שרותים מקומיים</c:v>
                </c:pt>
                <c:pt idx="2">
                  <c:v>שרותים ממלכתיים</c:v>
                </c:pt>
                <c:pt idx="3">
                  <c:v>מפעלים, נכסים ותשלומים בלתי רגילים</c:v>
                </c:pt>
              </c:strCache>
            </c:strRef>
          </c:cat>
          <c:val>
            <c:numRef>
              <c:f>(פרקים!$D$77,פרקים!$D$83,פרקים!$D$93,פרקים!$D$101)</c:f>
              <c:numCache>
                <c:formatCode>#,##0</c:formatCode>
                <c:ptCount val="4"/>
                <c:pt idx="0">
                  <c:v>635517</c:v>
                </c:pt>
                <c:pt idx="1">
                  <c:v>35130</c:v>
                </c:pt>
                <c:pt idx="2">
                  <c:v>287361</c:v>
                </c:pt>
                <c:pt idx="3">
                  <c:v>71992</c:v>
                </c:pt>
              </c:numCache>
            </c:numRef>
          </c:val>
          <c:extLst>
            <c:ext xmlns:c16="http://schemas.microsoft.com/office/drawing/2014/chart" uri="{C3380CC4-5D6E-409C-BE32-E72D297353CC}">
              <c16:uniqueId val="{00000004-7673-4070-A12E-FA12DF32ECE5}"/>
            </c:ext>
          </c:extLst>
        </c:ser>
        <c:ser>
          <c:idx val="1"/>
          <c:order val="1"/>
          <c:tx>
            <c:strRef>
              <c:f>פרקים!$E$75</c:f>
              <c:strCache>
                <c:ptCount val="1"/>
                <c:pt idx="0">
                  <c:v>תשלומים</c:v>
                </c:pt>
              </c:strCache>
            </c:strRef>
          </c:tx>
          <c:invertIfNegative val="0"/>
          <c:dLbls>
            <c:dLbl>
              <c:idx val="0"/>
              <c:layout>
                <c:manualLayout>
                  <c:x val="1.4004724086554246E-2"/>
                  <c:y val="-3.071017274472168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73-4070-A12E-FA12DF32ECE5}"/>
                </c:ext>
              </c:extLst>
            </c:dLbl>
            <c:dLbl>
              <c:idx val="1"/>
              <c:layout>
                <c:manualLayout>
                  <c:x val="-3.5712303346980057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73-4070-A12E-FA12DF32ECE5}"/>
                </c:ext>
              </c:extLst>
            </c:dLbl>
            <c:dLbl>
              <c:idx val="2"/>
              <c:layout>
                <c:manualLayout>
                  <c:x val="-3.5712303346980057E-2"/>
                  <c:y val="-4.09468969929622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73-4070-A12E-FA12DF32ECE5}"/>
                </c:ext>
              </c:extLst>
            </c:dLbl>
            <c:dLbl>
              <c:idx val="3"/>
              <c:layout>
                <c:manualLayout>
                  <c:x val="-1.7079797252903504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73-4070-A12E-FA12DF32ECE5}"/>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(פרקים!$C$77,פרקים!$C$83,פרקים!$C$93,פרקים!$C$101)</c:f>
              <c:strCache>
                <c:ptCount val="4"/>
                <c:pt idx="0">
                  <c:v>מיסים, מינהל ומימון</c:v>
                </c:pt>
                <c:pt idx="1">
                  <c:v>שרותים מקומיים</c:v>
                </c:pt>
                <c:pt idx="2">
                  <c:v>שרותים ממלכתיים</c:v>
                </c:pt>
                <c:pt idx="3">
                  <c:v>מפעלים, נכסים ותשלומים בלתי רגילים</c:v>
                </c:pt>
              </c:strCache>
            </c:strRef>
          </c:cat>
          <c:val>
            <c:numRef>
              <c:f>(פרקים!$E$77,פרקים!$E$83,פרקים!$E$93,פרקים!$E$101)</c:f>
              <c:numCache>
                <c:formatCode>#,##0</c:formatCode>
                <c:ptCount val="4"/>
                <c:pt idx="0">
                  <c:v>77955</c:v>
                </c:pt>
                <c:pt idx="1">
                  <c:v>219328</c:v>
                </c:pt>
                <c:pt idx="2">
                  <c:v>583421</c:v>
                </c:pt>
                <c:pt idx="3">
                  <c:v>149295.997</c:v>
                </c:pt>
              </c:numCache>
            </c:numRef>
          </c:val>
          <c:extLst>
            <c:ext xmlns:c16="http://schemas.microsoft.com/office/drawing/2014/chart" uri="{C3380CC4-5D6E-409C-BE32-E72D297353CC}">
              <c16:uniqueId val="{00000009-7673-4070-A12E-FA12DF32ECE5}"/>
            </c:ext>
          </c:extLst>
        </c:ser>
        <c:dLbls>
          <c:showLegendKey val="0"/>
          <c:showVal val="0"/>
          <c:showCatName val="0"/>
          <c:showSerName val="0"/>
          <c:showPercent val="0"/>
          <c:showBubbleSize val="0"/>
        </c:dLbls>
        <c:gapWidth val="150"/>
        <c:gapDepth val="0"/>
        <c:shape val="box"/>
        <c:axId val="642945016"/>
        <c:axId val="1"/>
        <c:axId val="0"/>
      </c:bar3DChart>
      <c:catAx>
        <c:axId val="642945016"/>
        <c:scaling>
          <c:orientation val="maxMin"/>
        </c:scaling>
        <c:delete val="0"/>
        <c:axPos val="b"/>
        <c:numFmt formatCode="General" sourceLinked="1"/>
        <c:majorTickMark val="out"/>
        <c:minorTickMark val="none"/>
        <c:tickLblPos val="low"/>
        <c:txPr>
          <a:bodyPr rot="0" vert="horz"/>
          <a:lstStyle/>
          <a:p>
            <a:pPr>
              <a:defRPr sz="1200" b="0" i="0" u="none" strike="noStrike" baseline="0">
                <a:solidFill>
                  <a:srgbClr val="000000"/>
                </a:solidFill>
                <a:latin typeface="David"/>
                <a:ea typeface="David"/>
                <a:cs typeface="David"/>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numFmt formatCode="#,##0" sourceLinked="0"/>
        <c:majorTickMark val="out"/>
        <c:minorTickMark val="none"/>
        <c:tickLblPos val="nextTo"/>
        <c:txPr>
          <a:bodyPr rot="0" vert="horz"/>
          <a:lstStyle/>
          <a:p>
            <a:pPr>
              <a:defRPr sz="1100" b="0" i="0" u="none" strike="noStrike" baseline="0">
                <a:solidFill>
                  <a:srgbClr val="000000"/>
                </a:solidFill>
                <a:latin typeface="David"/>
                <a:ea typeface="David"/>
                <a:cs typeface="David"/>
              </a:defRPr>
            </a:pPr>
            <a:endParaRPr lang="he-IL"/>
          </a:p>
        </c:txPr>
        <c:crossAx val="642945016"/>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David"/>
                <a:ea typeface="David"/>
                <a:cs typeface="David"/>
              </a:defRPr>
            </a:pPr>
            <a:endParaRPr lang="he-IL"/>
          </a:p>
        </c:txPr>
      </c:legendEntry>
      <c:legendEntry>
        <c:idx val="1"/>
        <c:txPr>
          <a:bodyPr/>
          <a:lstStyle/>
          <a:p>
            <a:pPr>
              <a:defRPr sz="920" b="0" i="0" u="none" strike="noStrike" baseline="0">
                <a:solidFill>
                  <a:srgbClr val="000000"/>
                </a:solidFill>
                <a:latin typeface="David"/>
                <a:ea typeface="David"/>
                <a:cs typeface="David"/>
              </a:defRPr>
            </a:pPr>
            <a:endParaRPr lang="he-IL"/>
          </a:p>
        </c:txPr>
      </c:legendEntry>
      <c:layout>
        <c:manualLayout>
          <c:xMode val="edge"/>
          <c:yMode val="edge"/>
          <c:wMode val="edge"/>
          <c:hMode val="edge"/>
          <c:x val="0.35720022497187848"/>
          <c:y val="1.0988941479268001E-2"/>
          <c:w val="0.61495713035870514"/>
          <c:h val="8.9285667546404338E-2"/>
        </c:manualLayout>
      </c:layout>
      <c:overlay val="0"/>
      <c:txPr>
        <a:bodyPr/>
        <a:lstStyle/>
        <a:p>
          <a:pPr>
            <a:defRPr sz="920" b="0" i="0" u="none" strike="noStrike" baseline="0">
              <a:solidFill>
                <a:srgbClr val="000000"/>
              </a:solidFill>
              <a:latin typeface="David"/>
              <a:ea typeface="David"/>
              <a:cs typeface="David"/>
            </a:defRPr>
          </a:pPr>
          <a:endParaRPr lang="he-I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wmf"/><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2463800</xdr:colOff>
      <xdr:row>12</xdr:row>
      <xdr:rowOff>120650</xdr:rowOff>
    </xdr:from>
    <xdr:to>
      <xdr:col>1</xdr:col>
      <xdr:colOff>2463800</xdr:colOff>
      <xdr:row>25</xdr:row>
      <xdr:rowOff>19050</xdr:rowOff>
    </xdr:to>
    <xdr:pic>
      <xdr:nvPicPr>
        <xdr:cNvPr id="52785656" name="Picture 40" descr="j020546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V="1">
          <a:off x="179781200" y="2794000"/>
          <a:ext cx="0" cy="252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77144</xdr:rowOff>
    </xdr:from>
    <xdr:to>
      <xdr:col>6</xdr:col>
      <xdr:colOff>380188</xdr:colOff>
      <xdr:row>75</xdr:row>
      <xdr:rowOff>5543</xdr:rowOff>
    </xdr:to>
    <xdr:sp macro="" textlink="">
      <xdr:nvSpPr>
        <xdr:cNvPr id="14" name="מלבן 13"/>
        <xdr:cNvSpPr/>
      </xdr:nvSpPr>
      <xdr:spPr>
        <a:xfrm flipV="1">
          <a:off x="171076164" y="16277264"/>
          <a:ext cx="12184836" cy="130211"/>
        </a:xfrm>
        <a:prstGeom prst="rect">
          <a:avLst/>
        </a:prstGeom>
        <a:solidFill>
          <a:srgbClr val="5EC0B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82910" tIns="41455" rIns="82910" bIns="41455" spcCol="0" rtlCol="1" anchor="ctr"/>
        <a:lstStyle>
          <a:defPPr>
            <a:defRPr lang="he-IL"/>
          </a:defPPr>
          <a:lvl1pPr marL="0" algn="r" defTabSz="914400" rtl="1" eaLnBrk="1" latinLnBrk="0" hangingPunct="1">
            <a:defRPr sz="1800" kern="1200">
              <a:solidFill>
                <a:schemeClr val="lt1"/>
              </a:solidFill>
              <a:latin typeface="+mn-lt"/>
              <a:ea typeface="+mn-ea"/>
              <a:cs typeface="+mn-cs"/>
            </a:defRPr>
          </a:lvl1pPr>
          <a:lvl2pPr marL="457200" algn="r" defTabSz="914400" rtl="1" eaLnBrk="1" latinLnBrk="0" hangingPunct="1">
            <a:defRPr sz="1800" kern="1200">
              <a:solidFill>
                <a:schemeClr val="lt1"/>
              </a:solidFill>
              <a:latin typeface="+mn-lt"/>
              <a:ea typeface="+mn-ea"/>
              <a:cs typeface="+mn-cs"/>
            </a:defRPr>
          </a:lvl2pPr>
          <a:lvl3pPr marL="914400" algn="r" defTabSz="914400" rtl="1" eaLnBrk="1" latinLnBrk="0" hangingPunct="1">
            <a:defRPr sz="1800" kern="1200">
              <a:solidFill>
                <a:schemeClr val="lt1"/>
              </a:solidFill>
              <a:latin typeface="+mn-lt"/>
              <a:ea typeface="+mn-ea"/>
              <a:cs typeface="+mn-cs"/>
            </a:defRPr>
          </a:lvl3pPr>
          <a:lvl4pPr marL="1371600" algn="r" defTabSz="914400" rtl="1" eaLnBrk="1" latinLnBrk="0" hangingPunct="1">
            <a:defRPr sz="1800" kern="1200">
              <a:solidFill>
                <a:schemeClr val="lt1"/>
              </a:solidFill>
              <a:latin typeface="+mn-lt"/>
              <a:ea typeface="+mn-ea"/>
              <a:cs typeface="+mn-cs"/>
            </a:defRPr>
          </a:lvl4pPr>
          <a:lvl5pPr marL="1828800" algn="r" defTabSz="914400" rtl="1" eaLnBrk="1" latinLnBrk="0" hangingPunct="1">
            <a:defRPr sz="1800" kern="1200">
              <a:solidFill>
                <a:schemeClr val="lt1"/>
              </a:solidFill>
              <a:latin typeface="+mn-lt"/>
              <a:ea typeface="+mn-ea"/>
              <a:cs typeface="+mn-cs"/>
            </a:defRPr>
          </a:lvl5pPr>
          <a:lvl6pPr marL="2286000" algn="r" defTabSz="914400" rtl="1" eaLnBrk="1" latinLnBrk="0" hangingPunct="1">
            <a:defRPr sz="1800" kern="1200">
              <a:solidFill>
                <a:schemeClr val="lt1"/>
              </a:solidFill>
              <a:latin typeface="+mn-lt"/>
              <a:ea typeface="+mn-ea"/>
              <a:cs typeface="+mn-cs"/>
            </a:defRPr>
          </a:lvl6pPr>
          <a:lvl7pPr marL="2743200" algn="r" defTabSz="914400" rtl="1" eaLnBrk="1" latinLnBrk="0" hangingPunct="1">
            <a:defRPr sz="1800" kern="1200">
              <a:solidFill>
                <a:schemeClr val="lt1"/>
              </a:solidFill>
              <a:latin typeface="+mn-lt"/>
              <a:ea typeface="+mn-ea"/>
              <a:cs typeface="+mn-cs"/>
            </a:defRPr>
          </a:lvl7pPr>
          <a:lvl8pPr marL="3200400" algn="r" defTabSz="914400" rtl="1" eaLnBrk="1" latinLnBrk="0" hangingPunct="1">
            <a:defRPr sz="1800" kern="1200">
              <a:solidFill>
                <a:schemeClr val="lt1"/>
              </a:solidFill>
              <a:latin typeface="+mn-lt"/>
              <a:ea typeface="+mn-ea"/>
              <a:cs typeface="+mn-cs"/>
            </a:defRPr>
          </a:lvl8pPr>
          <a:lvl9pPr marL="3657600" algn="r" defTabSz="914400" rtl="1" eaLnBrk="1" latinLnBrk="0" hangingPunct="1">
            <a:defRPr sz="1800" kern="1200">
              <a:solidFill>
                <a:schemeClr val="lt1"/>
              </a:solidFill>
              <a:latin typeface="+mn-lt"/>
              <a:ea typeface="+mn-ea"/>
              <a:cs typeface="+mn-cs"/>
            </a:defRPr>
          </a:lvl9pPr>
        </a:lstStyle>
        <a:p>
          <a:pPr algn="ctr"/>
          <a:endParaRPr lang="he-IL">
            <a:solidFill>
              <a:srgbClr val="5EC0B7"/>
            </a:solidFill>
          </a:endParaRPr>
        </a:p>
      </xdr:txBody>
    </xdr:sp>
    <xdr:clientData/>
  </xdr:twoCellAnchor>
  <xdr:twoCellAnchor>
    <xdr:from>
      <xdr:col>0</xdr:col>
      <xdr:colOff>0</xdr:colOff>
      <xdr:row>0</xdr:row>
      <xdr:rowOff>0</xdr:rowOff>
    </xdr:from>
    <xdr:to>
      <xdr:col>7</xdr:col>
      <xdr:colOff>0</xdr:colOff>
      <xdr:row>29</xdr:row>
      <xdr:rowOff>444500</xdr:rowOff>
    </xdr:to>
    <xdr:grpSp>
      <xdr:nvGrpSpPr>
        <xdr:cNvPr id="52785658" name="קבוצה 173"/>
        <xdr:cNvGrpSpPr>
          <a:grpSpLocks/>
        </xdr:cNvGrpSpPr>
      </xdr:nvGrpSpPr>
      <xdr:grpSpPr bwMode="auto">
        <a:xfrm>
          <a:off x="171667715" y="0"/>
          <a:ext cx="12455071" cy="7039429"/>
          <a:chOff x="-231321" y="-160189"/>
          <a:chExt cx="12423321" cy="7014547"/>
        </a:xfrm>
      </xdr:grpSpPr>
      <xdr:grpSp>
        <xdr:nvGrpSpPr>
          <xdr:cNvPr id="52785659" name="קבוצה 174"/>
          <xdr:cNvGrpSpPr>
            <a:grpSpLocks/>
          </xdr:cNvGrpSpPr>
        </xdr:nvGrpSpPr>
        <xdr:grpSpPr bwMode="auto">
          <a:xfrm>
            <a:off x="-231321" y="-160189"/>
            <a:ext cx="12423321" cy="7014547"/>
            <a:chOff x="-231321" y="-156547"/>
            <a:chExt cx="12423321" cy="7014547"/>
          </a:xfrm>
        </xdr:grpSpPr>
        <xdr:grpSp>
          <xdr:nvGrpSpPr>
            <xdr:cNvPr id="52785689" name="קבוצה 204"/>
            <xdr:cNvGrpSpPr>
              <a:grpSpLocks/>
            </xdr:cNvGrpSpPr>
          </xdr:nvGrpSpPr>
          <xdr:grpSpPr bwMode="auto">
            <a:xfrm>
              <a:off x="-231321" y="-156547"/>
              <a:ext cx="12423321" cy="7014547"/>
              <a:chOff x="-231321" y="-156547"/>
              <a:chExt cx="12423321" cy="7014547"/>
            </a:xfrm>
          </xdr:grpSpPr>
          <xdr:pic>
            <xdr:nvPicPr>
              <xdr:cNvPr id="208" name="תמונה 207"/>
              <xdr:cNvPicPr>
                <a:picLocks noChangeAspect="1"/>
              </xdr:cNvPicPr>
            </xdr:nvPicPr>
            <xdr:blipFill>
              <a:blip xmlns:r="http://schemas.openxmlformats.org/officeDocument/2006/relationships" r:embed="rId2">
                <a:duotone>
                  <a:prstClr val="black"/>
                  <a:srgbClr val="44546A">
                    <a:tint val="45000"/>
                    <a:satMod val="400000"/>
                  </a:srgbClr>
                </a:duotone>
              </a:blip>
              <a:stretch>
                <a:fillRect/>
              </a:stretch>
            </xdr:blipFill>
            <xdr:spPr>
              <a:xfrm>
                <a:off x="-231321" y="-156547"/>
                <a:ext cx="12423321" cy="7014547"/>
              </a:xfrm>
              <a:prstGeom prst="rect">
                <a:avLst/>
              </a:prstGeom>
              <a:solidFill>
                <a:srgbClr val="C9D0D8"/>
              </a:solidFill>
            </xdr:spPr>
          </xdr:pic>
          <xdr:sp macro="" textlink="">
            <xdr:nvSpPr>
              <xdr:cNvPr id="209" name="TextBox 58"/>
              <xdr:cNvSpPr txBox="1"/>
            </xdr:nvSpPr>
            <xdr:spPr>
              <a:xfrm>
                <a:off x="3700511" y="388459"/>
                <a:ext cx="8269531" cy="1551664"/>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pPr algn="ctr">
                  <a:lnSpc>
                    <a:spcPct val="150000"/>
                  </a:lnSpc>
                </a:pPr>
                <a:r>
                  <a:rPr lang="he-IL" sz="7200" b="1">
                    <a:ln w="9525">
                      <a:solidFill>
                        <a:sysClr val="window" lastClr="FFFFFF"/>
                      </a:solidFill>
                      <a:prstDash val="solid"/>
                    </a:ln>
                    <a:solidFill>
                      <a:srgbClr val="4472C4">
                        <a:lumMod val="75000"/>
                      </a:srgbClr>
                    </a:solidFill>
                    <a:effectLst>
                      <a:outerShdw blurRad="12700" dist="38100" dir="2700000" algn="tl" rotWithShape="0">
                        <a:srgbClr val="4472C4">
                          <a:lumMod val="60000"/>
                          <a:lumOff val="40000"/>
                        </a:srgbClr>
                      </a:outerShdw>
                    </a:effectLst>
                  </a:rPr>
                  <a:t>הצעת התקציב הרגיל</a:t>
                </a:r>
              </a:p>
            </xdr:txBody>
          </xdr:sp>
          <xdr:sp macro="" textlink="">
            <xdr:nvSpPr>
              <xdr:cNvPr id="210" name="TextBox 59"/>
              <xdr:cNvSpPr txBox="1"/>
            </xdr:nvSpPr>
            <xdr:spPr>
              <a:xfrm>
                <a:off x="770662" y="2382539"/>
                <a:ext cx="3494257" cy="1865844"/>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11500" b="1">
                    <a:solidFill>
                      <a:srgbClr val="4472C4">
                        <a:lumMod val="75000"/>
                      </a:srgbClr>
                    </a:solidFill>
                  </a:rPr>
                  <a:t>2021</a:t>
                </a:r>
              </a:p>
            </xdr:txBody>
          </xdr:sp>
          <xdr:sp macro="" textlink="">
            <xdr:nvSpPr>
              <xdr:cNvPr id="211" name="TextBox 60"/>
              <xdr:cNvSpPr txBox="1"/>
            </xdr:nvSpPr>
            <xdr:spPr>
              <a:xfrm>
                <a:off x="2711211" y="5748753"/>
                <a:ext cx="7629023" cy="1019482"/>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pPr algn="ctr">
                  <a:lnSpc>
                    <a:spcPct val="150000"/>
                  </a:lnSpc>
                </a:pPr>
                <a:r>
                  <a:rPr lang="he-IL" sz="2000" b="1"/>
                  <a:t>המנהל הכספי, אגף תקצוב וכלכלה</a:t>
                </a:r>
              </a:p>
              <a:p>
                <a:pPr algn="ctr">
                  <a:lnSpc>
                    <a:spcPct val="150000"/>
                  </a:lnSpc>
                </a:pPr>
                <a:r>
                  <a:rPr lang="he-IL" sz="2000" b="1"/>
                  <a:t>טבת תשפ"א, דצמבר 2020</a:t>
                </a:r>
              </a:p>
            </xdr:txBody>
          </xdr:sp>
          <xdr:pic>
            <xdr:nvPicPr>
              <xdr:cNvPr id="52785696" name="Picture 2" descr="Money bag line icon finance and banking Royalty Free Vecto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b="9464"/>
              <a:stretch>
                <a:fillRect/>
              </a:stretch>
            </xdr:blipFill>
            <xdr:spPr bwMode="auto">
              <a:xfrm>
                <a:off x="10338766" y="3538197"/>
                <a:ext cx="723900" cy="70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697" name="Picture 8" descr="growth rate line icon finance and banking"/>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a:stretch>
                <a:fillRect/>
              </a:stretch>
            </xdr:blipFill>
            <xdr:spPr bwMode="auto">
              <a:xfrm>
                <a:off x="3149976" y="44892"/>
                <a:ext cx="568777" cy="597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698" name="Picture 14" descr="abacus line icon accounting and mathematics"/>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a:stretch>
                <a:fillRect/>
              </a:stretch>
            </xdr:blipFill>
            <xdr:spPr bwMode="auto">
              <a:xfrm>
                <a:off x="10998200" y="4719167"/>
                <a:ext cx="712275" cy="74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699" name="Picture 10" descr="Light bulb with dollar line and glyph icon vecto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t="21333" r="50967" b="25343"/>
              <a:stretch>
                <a:fillRect/>
              </a:stretch>
            </xdr:blipFill>
            <xdr:spPr bwMode="auto">
              <a:xfrm>
                <a:off x="3079597" y="927096"/>
                <a:ext cx="688964" cy="787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0" name="Picture 8" descr="Cash line and glyph icon finance and currency vecto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l="372" t="29155" r="48184" b="28534"/>
              <a:stretch>
                <a:fillRect/>
              </a:stretch>
            </xdr:blipFill>
            <xdr:spPr bwMode="auto">
              <a:xfrm>
                <a:off x="9652299" y="4769878"/>
                <a:ext cx="864376" cy="746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7" name="תמונה 216"/>
              <xdr:cNvPicPr>
                <a:picLocks noChangeAspect="1"/>
              </xdr:cNvPicPr>
            </xdr:nvPicPr>
            <xdr:blipFill>
              <a:blip xmlns:r="http://schemas.openxmlformats.org/officeDocument/2006/relationships" r:embed="rId8">
                <a:duotone>
                  <a:prstClr val="black"/>
                  <a:srgbClr val="44546A">
                    <a:tint val="45000"/>
                    <a:satMod val="400000"/>
                  </a:srgbClr>
                </a:duotone>
              </a:blip>
              <a:stretch>
                <a:fillRect/>
              </a:stretch>
            </xdr:blipFill>
            <xdr:spPr>
              <a:xfrm>
                <a:off x="2362420" y="-2146383515"/>
                <a:ext cx="1445900" cy="0"/>
              </a:xfrm>
              <a:prstGeom prst="rect">
                <a:avLst/>
              </a:prstGeom>
            </xdr:spPr>
          </xdr:pic>
          <xdr:pic>
            <xdr:nvPicPr>
              <xdr:cNvPr id="218" name="תמונה 217"/>
              <xdr:cNvPicPr>
                <a:picLocks noChangeAspect="1"/>
              </xdr:cNvPicPr>
            </xdr:nvPicPr>
            <xdr:blipFill>
              <a:blip xmlns:r="http://schemas.openxmlformats.org/officeDocument/2006/relationships" r:embed="rId8">
                <a:duotone>
                  <a:prstClr val="black"/>
                  <a:srgbClr val="44546A">
                    <a:tint val="45000"/>
                    <a:satMod val="400000"/>
                  </a:srgbClr>
                </a:duotone>
              </a:blip>
              <a:stretch>
                <a:fillRect/>
              </a:stretch>
            </xdr:blipFill>
            <xdr:spPr>
              <a:xfrm>
                <a:off x="1474587" y="-2146383515"/>
                <a:ext cx="1439558" cy="0"/>
              </a:xfrm>
              <a:prstGeom prst="rect">
                <a:avLst/>
              </a:prstGeom>
            </xdr:spPr>
          </xdr:pic>
          <xdr:pic>
            <xdr:nvPicPr>
              <xdr:cNvPr id="52785703" name="Picture 4" descr="Money line icon finance and banking cash sign vecto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grayscl/>
                <a:biLevel thresh="50000"/>
                <a:extLst>
                  <a:ext uri="{28A0092B-C50C-407E-A947-70E740481C1C}">
                    <a14:useLocalDpi xmlns:a14="http://schemas.microsoft.com/office/drawing/2010/main" val="0"/>
                  </a:ext>
                </a:extLst>
              </a:blip>
              <a:srcRect/>
              <a:stretch>
                <a:fillRect/>
              </a:stretch>
            </xdr:blipFill>
            <xdr:spPr bwMode="auto">
              <a:xfrm>
                <a:off x="1797299" y="5828036"/>
                <a:ext cx="795230" cy="83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4" name="תמונה 219"/>
              <xdr:cNvPicPr>
                <a:picLocks noChangeAspect="1"/>
              </xdr:cNvPicPr>
            </xdr:nvPicPr>
            <xdr:blipFill>
              <a:blip xmlns:r="http://schemas.openxmlformats.org/officeDocument/2006/relationships" r:embed="rId10">
                <a:clrChange>
                  <a:clrFrom>
                    <a:srgbClr val="000000"/>
                  </a:clrFrom>
                  <a:clrTo>
                    <a:srgbClr val="000000">
                      <a:alpha val="0"/>
                    </a:srgbClr>
                  </a:clrTo>
                </a:clrChange>
                <a:lum bright="70000" contrast="-70000"/>
                <a:extLst>
                  <a:ext uri="{28A0092B-C50C-407E-A947-70E740481C1C}">
                    <a14:useLocalDpi xmlns:a14="http://schemas.microsoft.com/office/drawing/2010/main" val="0"/>
                  </a:ext>
                </a:extLst>
              </a:blip>
              <a:srcRect l="43100" t="37917" r="41901" b="47778"/>
              <a:stretch>
                <a:fillRect/>
              </a:stretch>
            </xdr:blipFill>
            <xdr:spPr bwMode="auto">
              <a:xfrm>
                <a:off x="2706363" y="4437379"/>
                <a:ext cx="887225" cy="91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5" name="תמונה 220"/>
              <xdr:cNvPicPr>
                <a:picLocks noChangeAspect="1"/>
              </xdr:cNvPicPr>
            </xdr:nvPicPr>
            <xdr:blipFill>
              <a:blip xmlns:r="http://schemas.openxmlformats.org/officeDocument/2006/relationships" r:embed="rId10">
                <a:clrChange>
                  <a:clrFrom>
                    <a:srgbClr val="000000"/>
                  </a:clrFrom>
                  <a:clrTo>
                    <a:srgbClr val="000000">
                      <a:alpha val="0"/>
                    </a:srgbClr>
                  </a:clrTo>
                </a:clrChange>
                <a:lum bright="70000" contrast="-70000"/>
                <a:extLst>
                  <a:ext uri="{28A0092B-C50C-407E-A947-70E740481C1C}">
                    <a14:useLocalDpi xmlns:a14="http://schemas.microsoft.com/office/drawing/2010/main" val="0"/>
                  </a:ext>
                </a:extLst>
              </a:blip>
              <a:srcRect l="58925" t="55000" r="27126" b="32500"/>
              <a:stretch>
                <a:fillRect/>
              </a:stretch>
            </xdr:blipFill>
            <xdr:spPr bwMode="auto">
              <a:xfrm>
                <a:off x="4177189" y="319733"/>
                <a:ext cx="790575" cy="765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6" name="Picture 16" descr="How to Set SMART Financial Goals"/>
              <xdr:cNvPicPr>
                <a:picLocks noChangeAspect="1" noChangeArrowheads="1"/>
              </xdr:cNvPicPr>
            </xdr:nvPicPr>
            <xdr:blipFill>
              <a:blip xmlns:r="http://schemas.openxmlformats.org/officeDocument/2006/relationships" r:embed="rId11">
                <a:lum bright="70000" contrast="-70000"/>
                <a:extLst>
                  <a:ext uri="{28A0092B-C50C-407E-A947-70E740481C1C}">
                    <a14:useLocalDpi xmlns:a14="http://schemas.microsoft.com/office/drawing/2010/main" val="0"/>
                  </a:ext>
                </a:extLst>
              </a:blip>
              <a:srcRect/>
              <a:stretch>
                <a:fillRect/>
              </a:stretch>
            </xdr:blipFill>
            <xdr:spPr bwMode="auto">
              <a:xfrm>
                <a:off x="4991136" y="4854488"/>
                <a:ext cx="692488" cy="865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7" name="Picture 2" descr="Budget - Free business and finance icons"/>
              <xdr:cNvPicPr>
                <a:picLocks noChangeAspect="1" noChangeArrowheads="1"/>
              </xdr:cNvPicPr>
            </xdr:nvPicPr>
            <xdr:blipFill>
              <a:blip xmlns:r="http://schemas.openxmlformats.org/officeDocument/2006/relationships" r:embed="rId12">
                <a:clrChange>
                  <a:clrFrom>
                    <a:srgbClr val="FFFEFC"/>
                  </a:clrFrom>
                  <a:clrTo>
                    <a:srgbClr val="FFFEFC">
                      <a:alpha val="0"/>
                    </a:srgbClr>
                  </a:clrTo>
                </a:clrChange>
                <a:lum bright="70000" contrast="-70000"/>
                <a:extLst>
                  <a:ext uri="{28A0092B-C50C-407E-A947-70E740481C1C}">
                    <a14:useLocalDpi xmlns:a14="http://schemas.microsoft.com/office/drawing/2010/main" val="0"/>
                  </a:ext>
                </a:extLst>
              </a:blip>
              <a:srcRect/>
              <a:stretch>
                <a:fillRect/>
              </a:stretch>
            </xdr:blipFill>
            <xdr:spPr bwMode="auto">
              <a:xfrm>
                <a:off x="7090838" y="4376246"/>
                <a:ext cx="685841" cy="685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8" name="Picture 4" descr="Budget planing line icon business and finance vecto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lum bright="70000" contrast="-70000"/>
                <a:extLst>
                  <a:ext uri="{28A0092B-C50C-407E-A947-70E740481C1C}">
                    <a14:useLocalDpi xmlns:a14="http://schemas.microsoft.com/office/drawing/2010/main" val="0"/>
                  </a:ext>
                </a:extLst>
              </a:blip>
              <a:srcRect/>
              <a:stretch>
                <a:fillRect/>
              </a:stretch>
            </xdr:blipFill>
            <xdr:spPr bwMode="auto">
              <a:xfrm>
                <a:off x="7547907" y="-24041"/>
                <a:ext cx="618022" cy="649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09" name="Picture 12" descr="Financial advisor icon isolated financial advisor Vector Image"/>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lum bright="70000" contrast="-70000"/>
                <a:extLst>
                  <a:ext uri="{28A0092B-C50C-407E-A947-70E740481C1C}">
                    <a14:useLocalDpi xmlns:a14="http://schemas.microsoft.com/office/drawing/2010/main" val="0"/>
                  </a:ext>
                </a:extLst>
              </a:blip>
              <a:srcRect l="24023" t="12712" r="19827" b="36169"/>
              <a:stretch>
                <a:fillRect/>
              </a:stretch>
            </xdr:blipFill>
            <xdr:spPr bwMode="auto">
              <a:xfrm>
                <a:off x="444082" y="979931"/>
                <a:ext cx="1028851" cy="101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10" name="Picture 2"/>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971" y="-94560"/>
                <a:ext cx="2615392" cy="880203"/>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pic>
            <xdr:nvPicPr>
              <xdr:cNvPr id="52785711" name="Picture 24" descr="Donate Funds To Our Charity – GEEU INSTITUTE"/>
              <xdr:cNvPicPr>
                <a:picLocks noChangeAspect="1" noChangeArrowheads="1"/>
              </xdr:cNvPicPr>
            </xdr:nvPicPr>
            <xdr:blipFill>
              <a:blip xmlns:r="http://schemas.openxmlformats.org/officeDocument/2006/relationships" r:embed="rId16">
                <a:lum bright="70000" contrast="-70000"/>
                <a:extLst>
                  <a:ext uri="{28A0092B-C50C-407E-A947-70E740481C1C}">
                    <a14:useLocalDpi xmlns:a14="http://schemas.microsoft.com/office/drawing/2010/main" val="0"/>
                  </a:ext>
                </a:extLst>
              </a:blip>
              <a:srcRect/>
              <a:stretch>
                <a:fillRect/>
              </a:stretch>
            </xdr:blipFill>
            <xdr:spPr bwMode="auto">
              <a:xfrm>
                <a:off x="317944" y="4535813"/>
                <a:ext cx="931541" cy="931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712" name="Picture 26" descr="Coins, finance, stack, budget icon - Download on Iconfinder"/>
              <xdr:cNvPicPr>
                <a:picLocks noChangeAspect="1" noChangeArrowheads="1"/>
              </xdr:cNvPicPr>
            </xdr:nvPicPr>
            <xdr:blipFill>
              <a:blip xmlns:r="http://schemas.openxmlformats.org/officeDocument/2006/relationships" r:embed="rId17">
                <a:lum bright="70000" contrast="-70000"/>
                <a:extLst>
                  <a:ext uri="{28A0092B-C50C-407E-A947-70E740481C1C}">
                    <a14:useLocalDpi xmlns:a14="http://schemas.microsoft.com/office/drawing/2010/main" val="0"/>
                  </a:ext>
                </a:extLst>
              </a:blip>
              <a:srcRect/>
              <a:stretch>
                <a:fillRect/>
              </a:stretch>
            </xdr:blipFill>
            <xdr:spPr bwMode="auto">
              <a:xfrm>
                <a:off x="11184876" y="336685"/>
                <a:ext cx="573224" cy="57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9" name="Picture 38" descr="Coin, wallet, banking, finance, payment icon - Download"/>
              <xdr:cNvPicPr>
                <a:picLocks noChangeAspect="1" noChangeArrowheads="1"/>
              </xdr:cNvPicPr>
            </xdr:nvPicPr>
            <xdr:blipFill>
              <a:blip xmlns:r="http://schemas.openxmlformats.org/officeDocument/2006/relationships" r:embed="rId18" cstate="print">
                <a:duotone>
                  <a:srgbClr val="E7E6E6">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9756801" y="1100173"/>
                <a:ext cx="653191" cy="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06" name="תמונה 205"/>
            <xdr:cNvPicPr>
              <a:picLocks noChangeAspect="1"/>
            </xdr:cNvPicPr>
          </xdr:nvPicPr>
          <xdr:blipFill rotWithShape="1">
            <a:blip xmlns:r="http://schemas.openxmlformats.org/officeDocument/2006/relationships" r:embed="rId2">
              <a:duotone>
                <a:prstClr val="black"/>
                <a:srgbClr val="44546A">
                  <a:tint val="45000"/>
                  <a:satMod val="400000"/>
                </a:srgbClr>
              </a:duotone>
            </a:blip>
            <a:srcRect l="10813" t="17649" r="84786" b="72053"/>
            <a:stretch/>
          </xdr:blipFill>
          <xdr:spPr>
            <a:xfrm>
              <a:off x="3244551" y="73516"/>
              <a:ext cx="197223" cy="183738"/>
            </a:xfrm>
            <a:prstGeom prst="rect">
              <a:avLst/>
            </a:prstGeom>
            <a:solidFill>
              <a:srgbClr val="979EAA"/>
            </a:solidFill>
            <a:ln>
              <a:noFill/>
            </a:ln>
          </xdr:spPr>
        </xdr:pic>
        <xdr:sp macro="" textlink="">
          <xdr:nvSpPr>
            <xdr:cNvPr id="207" name="תרשים זרימה: מחבר 206"/>
            <xdr:cNvSpPr/>
          </xdr:nvSpPr>
          <xdr:spPr>
            <a:xfrm>
              <a:off x="3281961" y="221751"/>
              <a:ext cx="114150" cy="64118"/>
            </a:xfrm>
            <a:prstGeom prst="flowChartConnector">
              <a:avLst/>
            </a:prstGeom>
            <a:solidFill>
              <a:srgbClr val="9AA1AD"/>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grpSp>
      <xdr:grpSp>
        <xdr:nvGrpSpPr>
          <xdr:cNvPr id="52785660" name="קבוצה 175"/>
          <xdr:cNvGrpSpPr>
            <a:grpSpLocks/>
          </xdr:cNvGrpSpPr>
        </xdr:nvGrpSpPr>
        <xdr:grpSpPr bwMode="auto">
          <a:xfrm>
            <a:off x="3336797" y="1143001"/>
            <a:ext cx="181849" cy="242406"/>
            <a:chOff x="3336797" y="1143001"/>
            <a:chExt cx="181849" cy="242406"/>
          </a:xfrm>
        </xdr:grpSpPr>
        <xdr:sp macro="" textlink="">
          <xdr:nvSpPr>
            <xdr:cNvPr id="203" name="תרשים זרימה: תהליך חלופי 202"/>
            <xdr:cNvSpPr/>
          </xdr:nvSpPr>
          <xdr:spPr>
            <a:xfrm>
              <a:off x="3339036" y="1141414"/>
              <a:ext cx="177567" cy="185943"/>
            </a:xfrm>
            <a:prstGeom prst="flowChartAlternateProcess">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solidFill>
                  <a:srgbClr val="9AA1AD"/>
                </a:solidFill>
              </a:endParaRPr>
            </a:p>
          </xdr:txBody>
        </xdr:sp>
        <xdr:sp macro="" textlink="">
          <xdr:nvSpPr>
            <xdr:cNvPr id="204" name="אליפסה 203"/>
            <xdr:cNvSpPr/>
          </xdr:nvSpPr>
          <xdr:spPr>
            <a:xfrm>
              <a:off x="3339036" y="1314533"/>
              <a:ext cx="139517" cy="70530"/>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grpSp>
      <xdr:pic>
        <xdr:nvPicPr>
          <xdr:cNvPr id="52785661" name="Picture 2" descr="קובץ:New sheqel sign.svg – ויקיפדיה"/>
          <xdr:cNvPicPr>
            <a:picLocks noChangeAspect="1" noChangeArrowheads="1"/>
          </xdr:cNvPicPr>
        </xdr:nvPicPr>
        <xdr:blipFill>
          <a:blip xmlns:r="http://schemas.openxmlformats.org/officeDocument/2006/relationships" r:embed="rId19">
            <a:lum bright="70000" contrast="-70000"/>
            <a:extLst>
              <a:ext uri="{28A0092B-C50C-407E-A947-70E740481C1C}">
                <a14:useLocalDpi xmlns:a14="http://schemas.microsoft.com/office/drawing/2010/main" val="0"/>
              </a:ext>
            </a:extLst>
          </a:blip>
          <a:srcRect/>
          <a:stretch>
            <a:fillRect/>
          </a:stretch>
        </xdr:blipFill>
        <xdr:spPr bwMode="auto">
          <a:xfrm>
            <a:off x="3347251" y="1182418"/>
            <a:ext cx="171395" cy="138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662" name="Picture 12" descr="Financial advisor icon isolated financial advisor Vector Image"/>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lum bright="70000" contrast="-70000"/>
            <a:extLst>
              <a:ext uri="{28A0092B-C50C-407E-A947-70E740481C1C}">
                <a14:useLocalDpi xmlns:a14="http://schemas.microsoft.com/office/drawing/2010/main" val="0"/>
              </a:ext>
            </a:extLst>
          </a:blip>
          <a:srcRect l="56181" t="47005" r="41061" b="44644"/>
          <a:stretch>
            <a:fillRect/>
          </a:stretch>
        </xdr:blipFill>
        <xdr:spPr bwMode="auto">
          <a:xfrm>
            <a:off x="1061561" y="1565203"/>
            <a:ext cx="208399" cy="335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785663" name="Picture 12" descr="Financial advisor icon isolated financial advisor Vector Image"/>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lum bright="70000" contrast="-70000"/>
            <a:extLst>
              <a:ext uri="{28A0092B-C50C-407E-A947-70E740481C1C}">
                <a14:useLocalDpi xmlns:a14="http://schemas.microsoft.com/office/drawing/2010/main" val="0"/>
              </a:ext>
            </a:extLst>
          </a:blip>
          <a:srcRect l="56181" t="47005" r="41061" b="44644"/>
          <a:stretch>
            <a:fillRect/>
          </a:stretch>
        </xdr:blipFill>
        <xdr:spPr bwMode="auto">
          <a:xfrm>
            <a:off x="1118090" y="1819838"/>
            <a:ext cx="77996" cy="12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0" name="TextBox 9"/>
          <xdr:cNvSpPr txBox="1"/>
        </xdr:nvSpPr>
        <xdr:spPr>
          <a:xfrm>
            <a:off x="967254" y="1455593"/>
            <a:ext cx="431233" cy="525770"/>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2800" b="1">
                <a:solidFill>
                  <a:srgbClr val="FFFFFF"/>
                </a:solidFill>
              </a:rPr>
              <a:t>₪</a:t>
            </a:r>
          </a:p>
        </xdr:txBody>
      </xdr:sp>
      <xdr:grpSp>
        <xdr:nvGrpSpPr>
          <xdr:cNvPr id="52785665" name="קבוצה 180"/>
          <xdr:cNvGrpSpPr>
            <a:grpSpLocks/>
          </xdr:cNvGrpSpPr>
        </xdr:nvGrpSpPr>
        <xdr:grpSpPr bwMode="auto">
          <a:xfrm>
            <a:off x="3336797" y="1143001"/>
            <a:ext cx="181849" cy="242406"/>
            <a:chOff x="3336797" y="1143001"/>
            <a:chExt cx="181849" cy="242406"/>
          </a:xfrm>
        </xdr:grpSpPr>
        <xdr:sp macro="" textlink="">
          <xdr:nvSpPr>
            <xdr:cNvPr id="201" name="תרשים זרימה: תהליך חלופי 200"/>
            <xdr:cNvSpPr/>
          </xdr:nvSpPr>
          <xdr:spPr>
            <a:xfrm>
              <a:off x="3339036" y="1141414"/>
              <a:ext cx="177567" cy="185943"/>
            </a:xfrm>
            <a:prstGeom prst="flowChartAlternateProcess">
              <a:avLst/>
            </a:prstGeom>
            <a:solidFill>
              <a:srgbClr val="9AA1AD"/>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solidFill>
                  <a:srgbClr val="9AA1AD"/>
                </a:solidFill>
              </a:endParaRPr>
            </a:p>
          </xdr:txBody>
        </xdr:sp>
        <xdr:sp macro="" textlink="">
          <xdr:nvSpPr>
            <xdr:cNvPr id="202" name="אליפסה 201"/>
            <xdr:cNvSpPr/>
          </xdr:nvSpPr>
          <xdr:spPr>
            <a:xfrm>
              <a:off x="3339036" y="1314533"/>
              <a:ext cx="139517" cy="70530"/>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grpSp>
      <xdr:pic>
        <xdr:nvPicPr>
          <xdr:cNvPr id="52785666" name="Picture 2" descr="קובץ:New sheqel sign.svg – ויקיפדיה"/>
          <xdr:cNvPicPr>
            <a:picLocks noChangeAspect="1" noChangeArrowheads="1"/>
          </xdr:cNvPicPr>
        </xdr:nvPicPr>
        <xdr:blipFill>
          <a:blip xmlns:r="http://schemas.openxmlformats.org/officeDocument/2006/relationships" r:embed="rId19">
            <a:lum bright="70000" contrast="-70000"/>
            <a:extLst>
              <a:ext uri="{28A0092B-C50C-407E-A947-70E740481C1C}">
                <a14:useLocalDpi xmlns:a14="http://schemas.microsoft.com/office/drawing/2010/main" val="0"/>
              </a:ext>
            </a:extLst>
          </a:blip>
          <a:srcRect/>
          <a:stretch>
            <a:fillRect/>
          </a:stretch>
        </xdr:blipFill>
        <xdr:spPr bwMode="auto">
          <a:xfrm>
            <a:off x="3341279" y="1192270"/>
            <a:ext cx="171395" cy="138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2785667" name="קבוצה 182"/>
          <xdr:cNvGrpSpPr>
            <a:grpSpLocks/>
          </xdr:cNvGrpSpPr>
        </xdr:nvGrpSpPr>
        <xdr:grpSpPr bwMode="auto">
          <a:xfrm>
            <a:off x="10578451" y="3722799"/>
            <a:ext cx="343729" cy="523220"/>
            <a:chOff x="10578451" y="3722799"/>
            <a:chExt cx="343729" cy="523220"/>
          </a:xfrm>
        </xdr:grpSpPr>
        <xdr:pic>
          <xdr:nvPicPr>
            <xdr:cNvPr id="199" name="תמונה 198"/>
            <xdr:cNvPicPr>
              <a:picLocks noChangeAspect="1"/>
            </xdr:cNvPicPr>
          </xdr:nvPicPr>
          <xdr:blipFill rotWithShape="1">
            <a:blip xmlns:r="http://schemas.openxmlformats.org/officeDocument/2006/relationships" r:embed="rId2">
              <a:duotone>
                <a:prstClr val="black"/>
                <a:srgbClr val="44546A">
                  <a:tint val="45000"/>
                  <a:satMod val="400000"/>
                </a:srgbClr>
              </a:duotone>
            </a:blip>
            <a:srcRect l="10813" t="17649" r="84786" b="72053"/>
            <a:stretch/>
          </xdr:blipFill>
          <xdr:spPr>
            <a:xfrm>
              <a:off x="10581217" y="2132756479"/>
              <a:ext cx="228300" cy="0"/>
            </a:xfrm>
            <a:prstGeom prst="rect">
              <a:avLst/>
            </a:prstGeom>
            <a:solidFill>
              <a:srgbClr val="C9D0D8"/>
            </a:solidFill>
            <a:ln>
              <a:noFill/>
            </a:ln>
          </xdr:spPr>
        </xdr:pic>
        <xdr:sp macro="" textlink="">
          <xdr:nvSpPr>
            <xdr:cNvPr id="200" name="TextBox 44"/>
            <xdr:cNvSpPr txBox="1"/>
          </xdr:nvSpPr>
          <xdr:spPr>
            <a:xfrm>
              <a:off x="10587559" y="3725383"/>
              <a:ext cx="336108" cy="519359"/>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2800" b="1">
                  <a:solidFill>
                    <a:srgbClr val="FFFFFF"/>
                  </a:solidFill>
                </a:rPr>
                <a:t>₪</a:t>
              </a:r>
            </a:p>
          </xdr:txBody>
        </xdr:sp>
      </xdr:grpSp>
      <xdr:sp macro="" textlink="">
        <xdr:nvSpPr>
          <xdr:cNvPr id="184" name="אליפסה 183"/>
          <xdr:cNvSpPr/>
        </xdr:nvSpPr>
        <xdr:spPr>
          <a:xfrm>
            <a:off x="2077045" y="6168292"/>
            <a:ext cx="240983" cy="237238"/>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pic>
        <xdr:nvPicPr>
          <xdr:cNvPr id="185" name="תמונה 184"/>
          <xdr:cNvPicPr>
            <a:picLocks noChangeAspect="1"/>
          </xdr:cNvPicPr>
        </xdr:nvPicPr>
        <xdr:blipFill rotWithShape="1">
          <a:blip xmlns:r="http://schemas.openxmlformats.org/officeDocument/2006/relationships" r:embed="rId2">
            <a:duotone>
              <a:prstClr val="black"/>
              <a:srgbClr val="44546A">
                <a:tint val="45000"/>
                <a:satMod val="400000"/>
              </a:srgbClr>
            </a:duotone>
          </a:blip>
          <a:srcRect l="10813" t="17649" r="84786" b="72053"/>
          <a:stretch/>
        </xdr:blipFill>
        <xdr:spPr>
          <a:xfrm>
            <a:off x="9883634" y="-2146387157"/>
            <a:ext cx="291717" cy="0"/>
          </a:xfrm>
          <a:prstGeom prst="rect">
            <a:avLst/>
          </a:prstGeom>
          <a:solidFill>
            <a:srgbClr val="C9D0D8"/>
          </a:solidFill>
        </xdr:spPr>
      </xdr:pic>
      <xdr:pic>
        <xdr:nvPicPr>
          <xdr:cNvPr id="186" name="תמונה 185"/>
          <xdr:cNvPicPr>
            <a:picLocks noChangeAspect="1"/>
          </xdr:cNvPicPr>
        </xdr:nvPicPr>
        <xdr:blipFill rotWithShape="1">
          <a:blip xmlns:r="http://schemas.openxmlformats.org/officeDocument/2006/relationships" r:embed="rId2">
            <a:duotone>
              <a:prstClr val="black"/>
              <a:srgbClr val="44546A">
                <a:tint val="45000"/>
                <a:satMod val="400000"/>
              </a:srgbClr>
            </a:duotone>
          </a:blip>
          <a:srcRect l="10813" t="17649" r="84786" b="72053"/>
          <a:stretch/>
        </xdr:blipFill>
        <xdr:spPr>
          <a:xfrm>
            <a:off x="5406419" y="-2146387157"/>
            <a:ext cx="177567" cy="0"/>
          </a:xfrm>
          <a:prstGeom prst="rect">
            <a:avLst/>
          </a:prstGeom>
          <a:solidFill>
            <a:srgbClr val="C9D0D8"/>
          </a:solidFill>
          <a:ln>
            <a:noFill/>
          </a:ln>
        </xdr:spPr>
      </xdr:pic>
      <xdr:sp macro="" textlink="">
        <xdr:nvSpPr>
          <xdr:cNvPr id="187" name="אליפסה 186"/>
          <xdr:cNvSpPr/>
        </xdr:nvSpPr>
        <xdr:spPr>
          <a:xfrm>
            <a:off x="7150377" y="4879513"/>
            <a:ext cx="133175" cy="141060"/>
          </a:xfrm>
          <a:prstGeom prst="ellipse">
            <a:avLst/>
          </a:prstGeom>
          <a:solidFill>
            <a:srgbClr val="989EAA"/>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sp macro="" textlink="">
        <xdr:nvSpPr>
          <xdr:cNvPr id="188" name="TextBox 56"/>
          <xdr:cNvSpPr txBox="1"/>
        </xdr:nvSpPr>
        <xdr:spPr>
          <a:xfrm flipH="1">
            <a:off x="5317636" y="5353989"/>
            <a:ext cx="336108" cy="339827"/>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1600" b="1">
                <a:solidFill>
                  <a:srgbClr val="C1C2C5"/>
                </a:solidFill>
              </a:rPr>
              <a:t>₪</a:t>
            </a:r>
          </a:p>
        </xdr:txBody>
      </xdr:sp>
      <xdr:sp macro="" textlink="">
        <xdr:nvSpPr>
          <xdr:cNvPr id="189" name="TextBox 79"/>
          <xdr:cNvSpPr txBox="1"/>
        </xdr:nvSpPr>
        <xdr:spPr>
          <a:xfrm>
            <a:off x="1956553" y="6072114"/>
            <a:ext cx="431233" cy="397534"/>
          </a:xfrm>
          <a:prstGeom prst="rect">
            <a:avLst/>
          </a:prstGeom>
          <a:noFill/>
          <a:ln>
            <a:noFill/>
          </a:ln>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2000" b="1">
                <a:solidFill>
                  <a:srgbClr val="FFFFFF"/>
                </a:solidFill>
              </a:rPr>
              <a:t>₪</a:t>
            </a:r>
          </a:p>
        </xdr:txBody>
      </xdr:sp>
      <xdr:sp macro="" textlink="">
        <xdr:nvSpPr>
          <xdr:cNvPr id="190" name="TextBox 80"/>
          <xdr:cNvSpPr txBox="1"/>
        </xdr:nvSpPr>
        <xdr:spPr>
          <a:xfrm>
            <a:off x="9788509" y="4937219"/>
            <a:ext cx="431233" cy="397534"/>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2000" b="1">
                <a:solidFill>
                  <a:srgbClr val="FFFFFF"/>
                </a:solidFill>
              </a:rPr>
              <a:t>₪</a:t>
            </a:r>
          </a:p>
        </xdr:txBody>
      </xdr:sp>
      <xdr:sp macro="" textlink="">
        <xdr:nvSpPr>
          <xdr:cNvPr id="191" name="אליפסה 190"/>
          <xdr:cNvSpPr/>
        </xdr:nvSpPr>
        <xdr:spPr>
          <a:xfrm>
            <a:off x="7258185" y="4590980"/>
            <a:ext cx="152200" cy="179531"/>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pic>
        <xdr:nvPicPr>
          <xdr:cNvPr id="52785676" name="Picture 2" descr="קובץ:New sheqel sign.svg – ויקיפדיה"/>
          <xdr:cNvPicPr>
            <a:picLocks noChangeAspect="1" noChangeArrowheads="1"/>
          </xdr:cNvPicPr>
        </xdr:nvPicPr>
        <xdr:blipFill>
          <a:blip xmlns:r="http://schemas.openxmlformats.org/officeDocument/2006/relationships" r:embed="rId19" cstate="print">
            <a:lum bright="70000" contrast="-70000"/>
            <a:extLst>
              <a:ext uri="{28A0092B-C50C-407E-A947-70E740481C1C}">
                <a14:useLocalDpi xmlns:a14="http://schemas.microsoft.com/office/drawing/2010/main" val="0"/>
              </a:ext>
            </a:extLst>
          </a:blip>
          <a:srcRect/>
          <a:stretch>
            <a:fillRect/>
          </a:stretch>
        </xdr:blipFill>
        <xdr:spPr bwMode="auto">
          <a:xfrm>
            <a:off x="7270928" y="4607049"/>
            <a:ext cx="103394" cy="83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3" name="אליפסה 192"/>
          <xdr:cNvSpPr/>
        </xdr:nvSpPr>
        <xdr:spPr>
          <a:xfrm>
            <a:off x="11285142" y="391229"/>
            <a:ext cx="266350" cy="250062"/>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pic>
        <xdr:nvPicPr>
          <xdr:cNvPr id="52785678" name="Picture 2" descr="קובץ:New sheqel sign.svg – ויקיפדיה"/>
          <xdr:cNvPicPr>
            <a:picLocks noChangeAspect="1" noChangeArrowheads="1"/>
          </xdr:cNvPicPr>
        </xdr:nvPicPr>
        <xdr:blipFill>
          <a:blip xmlns:r="http://schemas.openxmlformats.org/officeDocument/2006/relationships" r:embed="rId19">
            <a:lum bright="70000" contrast="-70000"/>
            <a:extLst>
              <a:ext uri="{28A0092B-C50C-407E-A947-70E740481C1C}">
                <a14:useLocalDpi xmlns:a14="http://schemas.microsoft.com/office/drawing/2010/main" val="0"/>
              </a:ext>
            </a:extLst>
          </a:blip>
          <a:srcRect/>
          <a:stretch>
            <a:fillRect/>
          </a:stretch>
        </xdr:blipFill>
        <xdr:spPr bwMode="auto">
          <a:xfrm>
            <a:off x="11333063" y="444733"/>
            <a:ext cx="171395" cy="138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5" name="אליפסה 194"/>
          <xdr:cNvSpPr/>
        </xdr:nvSpPr>
        <xdr:spPr>
          <a:xfrm>
            <a:off x="9972417" y="6200351"/>
            <a:ext cx="202933" cy="141060"/>
          </a:xfrm>
          <a:prstGeom prst="ellipse">
            <a:avLst/>
          </a:prstGeom>
          <a:solidFill>
            <a:srgbClr val="9BA2AE"/>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sp macro="" textlink="">
        <xdr:nvSpPr>
          <xdr:cNvPr id="196" name="מלבן 195"/>
          <xdr:cNvSpPr/>
        </xdr:nvSpPr>
        <xdr:spPr>
          <a:xfrm>
            <a:off x="7879668" y="51402"/>
            <a:ext cx="82442" cy="224414"/>
          </a:xfrm>
          <a:prstGeom prst="rect">
            <a:avLst/>
          </a:prstGeom>
          <a:solidFill>
            <a:srgbClr val="9CA2AF"/>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sp macro="" textlink="">
        <xdr:nvSpPr>
          <xdr:cNvPr id="197" name="אליפסה 196"/>
          <xdr:cNvSpPr/>
        </xdr:nvSpPr>
        <xdr:spPr>
          <a:xfrm>
            <a:off x="643829" y="4590980"/>
            <a:ext cx="418550" cy="423181"/>
          </a:xfrm>
          <a:prstGeom prst="ellipse">
            <a:avLst/>
          </a:prstGeom>
          <a:solidFill>
            <a:srgbClr val="CDCDCD"/>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he-IL"/>
            </a:defPPr>
            <a:lvl1pPr marL="0" algn="r" defTabSz="914400" rtl="1" eaLnBrk="1" latinLnBrk="0" hangingPunct="1">
              <a:defRPr sz="1800" kern="1200">
                <a:solidFill>
                  <a:sysClr val="window" lastClr="FFFFFF"/>
                </a:solidFill>
                <a:latin typeface="Calibri" panose="020F0502020204030204"/>
              </a:defRPr>
            </a:lvl1pPr>
            <a:lvl2pPr marL="457200" algn="r" defTabSz="914400" rtl="1" eaLnBrk="1" latinLnBrk="0" hangingPunct="1">
              <a:defRPr sz="1800" kern="1200">
                <a:solidFill>
                  <a:sysClr val="window" lastClr="FFFFFF"/>
                </a:solidFill>
                <a:latin typeface="Calibri" panose="020F0502020204030204"/>
              </a:defRPr>
            </a:lvl2pPr>
            <a:lvl3pPr marL="914400" algn="r" defTabSz="914400" rtl="1" eaLnBrk="1" latinLnBrk="0" hangingPunct="1">
              <a:defRPr sz="1800" kern="1200">
                <a:solidFill>
                  <a:sysClr val="window" lastClr="FFFFFF"/>
                </a:solidFill>
                <a:latin typeface="Calibri" panose="020F0502020204030204"/>
              </a:defRPr>
            </a:lvl3pPr>
            <a:lvl4pPr marL="1371600" algn="r" defTabSz="914400" rtl="1" eaLnBrk="1" latinLnBrk="0" hangingPunct="1">
              <a:defRPr sz="1800" kern="1200">
                <a:solidFill>
                  <a:sysClr val="window" lastClr="FFFFFF"/>
                </a:solidFill>
                <a:latin typeface="Calibri" panose="020F0502020204030204"/>
              </a:defRPr>
            </a:lvl4pPr>
            <a:lvl5pPr marL="1828800" algn="r" defTabSz="914400" rtl="1" eaLnBrk="1" latinLnBrk="0" hangingPunct="1">
              <a:defRPr sz="1800" kern="1200">
                <a:solidFill>
                  <a:sysClr val="window" lastClr="FFFFFF"/>
                </a:solidFill>
                <a:latin typeface="Calibri" panose="020F0502020204030204"/>
              </a:defRPr>
            </a:lvl5pPr>
            <a:lvl6pPr marL="2286000" algn="r" defTabSz="914400" rtl="1" eaLnBrk="1" latinLnBrk="0" hangingPunct="1">
              <a:defRPr sz="1800" kern="1200">
                <a:solidFill>
                  <a:sysClr val="window" lastClr="FFFFFF"/>
                </a:solidFill>
                <a:latin typeface="Calibri" panose="020F0502020204030204"/>
              </a:defRPr>
            </a:lvl6pPr>
            <a:lvl7pPr marL="2743200" algn="r" defTabSz="914400" rtl="1" eaLnBrk="1" latinLnBrk="0" hangingPunct="1">
              <a:defRPr sz="1800" kern="1200">
                <a:solidFill>
                  <a:sysClr val="window" lastClr="FFFFFF"/>
                </a:solidFill>
                <a:latin typeface="Calibri" panose="020F0502020204030204"/>
              </a:defRPr>
            </a:lvl7pPr>
            <a:lvl8pPr marL="3200400" algn="r" defTabSz="914400" rtl="1" eaLnBrk="1" latinLnBrk="0" hangingPunct="1">
              <a:defRPr sz="1800" kern="1200">
                <a:solidFill>
                  <a:sysClr val="window" lastClr="FFFFFF"/>
                </a:solidFill>
                <a:latin typeface="Calibri" panose="020F0502020204030204"/>
              </a:defRPr>
            </a:lvl8pPr>
            <a:lvl9pPr marL="3657600" algn="r" defTabSz="914400" rtl="1" eaLnBrk="1" latinLnBrk="0" hangingPunct="1">
              <a:defRPr sz="1800" kern="1200">
                <a:solidFill>
                  <a:sysClr val="window" lastClr="FFFFFF"/>
                </a:solidFill>
                <a:latin typeface="Calibri" panose="020F0502020204030204"/>
              </a:defRPr>
            </a:lvl9pPr>
          </a:lstStyle>
          <a:p>
            <a:pPr algn="ctr"/>
            <a:endParaRPr lang="he-IL"/>
          </a:p>
        </xdr:txBody>
      </xdr:sp>
      <xdr:sp macro="" textlink="">
        <xdr:nvSpPr>
          <xdr:cNvPr id="198" name="TextBox 88"/>
          <xdr:cNvSpPr txBox="1"/>
        </xdr:nvSpPr>
        <xdr:spPr>
          <a:xfrm>
            <a:off x="789687" y="4552509"/>
            <a:ext cx="260008" cy="461652"/>
          </a:xfrm>
          <a:prstGeom prst="rect">
            <a:avLst/>
          </a:prstGeom>
          <a:noFill/>
        </xdr:spPr>
        <xdr:txBody>
          <a:bodyPr wrap="square" rtlCol="1">
            <a:spAutoFit/>
          </a:bodyPr>
          <a:lstStyle>
            <a:defPPr>
              <a:defRPr lang="he-IL"/>
            </a:defPPr>
            <a:lvl1pPr marL="0" algn="r" defTabSz="914400" rtl="1" eaLnBrk="1" latinLnBrk="0" hangingPunct="1">
              <a:defRPr sz="1800" kern="1200">
                <a:solidFill>
                  <a:sysClr val="windowText" lastClr="000000"/>
                </a:solidFill>
                <a:latin typeface="Calibri" panose="020F0502020204030204"/>
              </a:defRPr>
            </a:lvl1pPr>
            <a:lvl2pPr marL="457200" algn="r" defTabSz="914400" rtl="1" eaLnBrk="1" latinLnBrk="0" hangingPunct="1">
              <a:defRPr sz="1800" kern="1200">
                <a:solidFill>
                  <a:sysClr val="windowText" lastClr="000000"/>
                </a:solidFill>
                <a:latin typeface="Calibri" panose="020F0502020204030204"/>
              </a:defRPr>
            </a:lvl2pPr>
            <a:lvl3pPr marL="914400" algn="r" defTabSz="914400" rtl="1" eaLnBrk="1" latinLnBrk="0" hangingPunct="1">
              <a:defRPr sz="1800" kern="1200">
                <a:solidFill>
                  <a:sysClr val="windowText" lastClr="000000"/>
                </a:solidFill>
                <a:latin typeface="Calibri" panose="020F0502020204030204"/>
              </a:defRPr>
            </a:lvl3pPr>
            <a:lvl4pPr marL="1371600" algn="r" defTabSz="914400" rtl="1" eaLnBrk="1" latinLnBrk="0" hangingPunct="1">
              <a:defRPr sz="1800" kern="1200">
                <a:solidFill>
                  <a:sysClr val="windowText" lastClr="000000"/>
                </a:solidFill>
                <a:latin typeface="Calibri" panose="020F0502020204030204"/>
              </a:defRPr>
            </a:lvl4pPr>
            <a:lvl5pPr marL="1828800" algn="r" defTabSz="914400" rtl="1" eaLnBrk="1" latinLnBrk="0" hangingPunct="1">
              <a:defRPr sz="1800" kern="1200">
                <a:solidFill>
                  <a:sysClr val="windowText" lastClr="000000"/>
                </a:solidFill>
                <a:latin typeface="Calibri" panose="020F0502020204030204"/>
              </a:defRPr>
            </a:lvl5pPr>
            <a:lvl6pPr marL="2286000" algn="r" defTabSz="914400" rtl="1" eaLnBrk="1" latinLnBrk="0" hangingPunct="1">
              <a:defRPr sz="1800" kern="1200">
                <a:solidFill>
                  <a:sysClr val="windowText" lastClr="000000"/>
                </a:solidFill>
                <a:latin typeface="Calibri" panose="020F0502020204030204"/>
              </a:defRPr>
            </a:lvl6pPr>
            <a:lvl7pPr marL="2743200" algn="r" defTabSz="914400" rtl="1" eaLnBrk="1" latinLnBrk="0" hangingPunct="1">
              <a:defRPr sz="1800" kern="1200">
                <a:solidFill>
                  <a:sysClr val="windowText" lastClr="000000"/>
                </a:solidFill>
                <a:latin typeface="Calibri" panose="020F0502020204030204"/>
              </a:defRPr>
            </a:lvl7pPr>
            <a:lvl8pPr marL="3200400" algn="r" defTabSz="914400" rtl="1" eaLnBrk="1" latinLnBrk="0" hangingPunct="1">
              <a:defRPr sz="1800" kern="1200">
                <a:solidFill>
                  <a:sysClr val="windowText" lastClr="000000"/>
                </a:solidFill>
                <a:latin typeface="Calibri" panose="020F0502020204030204"/>
              </a:defRPr>
            </a:lvl8pPr>
            <a:lvl9pPr marL="3657600" algn="r" defTabSz="914400" rtl="1" eaLnBrk="1" latinLnBrk="0" hangingPunct="1">
              <a:defRPr sz="1800" kern="1200">
                <a:solidFill>
                  <a:sysClr val="windowText" lastClr="000000"/>
                </a:solidFill>
                <a:latin typeface="Calibri" panose="020F0502020204030204"/>
              </a:defRPr>
            </a:lvl9pPr>
          </a:lstStyle>
          <a:p>
            <a:r>
              <a:rPr lang="he-IL" sz="2400" b="1">
                <a:solidFill>
                  <a:srgbClr val="FFFFFF"/>
                </a:solidFill>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44450</xdr:rowOff>
    </xdr:from>
    <xdr:to>
      <xdr:col>5</xdr:col>
      <xdr:colOff>196850</xdr:colOff>
      <xdr:row>68</xdr:row>
      <xdr:rowOff>6350</xdr:rowOff>
    </xdr:to>
    <xdr:graphicFrame macro="">
      <xdr:nvGraphicFramePr>
        <xdr:cNvPr id="529767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54</xdr:row>
      <xdr:rowOff>139700</xdr:rowOff>
    </xdr:from>
    <xdr:to>
      <xdr:col>10</xdr:col>
      <xdr:colOff>514350</xdr:colOff>
      <xdr:row>72</xdr:row>
      <xdr:rowOff>139700</xdr:rowOff>
    </xdr:to>
    <xdr:graphicFrame macro="">
      <xdr:nvGraphicFramePr>
        <xdr:cNvPr id="529767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344920</xdr:colOff>
      <xdr:row>58</xdr:row>
      <xdr:rowOff>95829</xdr:rowOff>
    </xdr:from>
    <xdr:to>
      <xdr:col>7</xdr:col>
      <xdr:colOff>202273</xdr:colOff>
      <xdr:row>60</xdr:row>
      <xdr:rowOff>2384</xdr:rowOff>
    </xdr:to>
    <xdr:sp macro="" textlink="">
      <xdr:nvSpPr>
        <xdr:cNvPr id="2053" name="Text 5"/>
        <xdr:cNvSpPr txBox="1">
          <a:spLocks noChangeArrowheads="1"/>
        </xdr:cNvSpPr>
      </xdr:nvSpPr>
      <xdr:spPr bwMode="auto">
        <a:xfrm>
          <a:off x="170116500" y="14220769"/>
          <a:ext cx="669810" cy="285806"/>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106680</xdr:rowOff>
    </xdr:from>
    <xdr:to>
      <xdr:col>9</xdr:col>
      <xdr:colOff>476233</xdr:colOff>
      <xdr:row>66</xdr:row>
      <xdr:rowOff>1353</xdr:rowOff>
    </xdr:to>
    <xdr:sp macro="" textlink="">
      <xdr:nvSpPr>
        <xdr:cNvPr id="2054" name="Text 6"/>
        <xdr:cNvSpPr txBox="1">
          <a:spLocks noChangeArrowheads="1"/>
        </xdr:cNvSpPr>
      </xdr:nvSpPr>
      <xdr:spPr bwMode="auto">
        <a:xfrm>
          <a:off x="168802050" y="15354300"/>
          <a:ext cx="523239" cy="284074"/>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433705</xdr:colOff>
      <xdr:row>68</xdr:row>
      <xdr:rowOff>1905</xdr:rowOff>
    </xdr:from>
    <xdr:to>
      <xdr:col>6</xdr:col>
      <xdr:colOff>6813</xdr:colOff>
      <xdr:row>69</xdr:row>
      <xdr:rowOff>106793</xdr:rowOff>
    </xdr:to>
    <xdr:sp macro="" textlink="">
      <xdr:nvSpPr>
        <xdr:cNvPr id="2055" name="Text 7"/>
        <xdr:cNvSpPr txBox="1">
          <a:spLocks noChangeArrowheads="1"/>
        </xdr:cNvSpPr>
      </xdr:nvSpPr>
      <xdr:spPr bwMode="auto">
        <a:xfrm>
          <a:off x="171117864" y="16030575"/>
          <a:ext cx="370236" cy="30805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0.44662</cdr:x>
      <cdr:y>0.30305</cdr:y>
    </cdr:from>
    <cdr:to>
      <cdr:x>0.59446</cdr:x>
      <cdr:y>0.37676</cdr:y>
    </cdr:to>
    <cdr:sp macro="" textlink="">
      <cdr:nvSpPr>
        <cdr:cNvPr id="3073" name="Text 1"/>
        <cdr:cNvSpPr txBox="1">
          <a:spLocks xmlns:a="http://schemas.openxmlformats.org/drawingml/2006/main" noChangeArrowheads="1"/>
        </cdr:cNvSpPr>
      </cdr:nvSpPr>
      <cdr:spPr bwMode="auto">
        <a:xfrm xmlns:a="http://schemas.openxmlformats.org/drawingml/2006/main">
          <a:off x="1895475" y="1266825"/>
          <a:ext cx="701128" cy="294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1">
            <a:lnSpc>
              <a:spcPts val="800"/>
            </a:lnSpc>
            <a:defRPr sz="1000"/>
          </a:pPr>
          <a:r>
            <a:rPr lang="he-IL" sz="1200" b="1" i="0" u="sng" strike="noStrike">
              <a:solidFill>
                <a:srgbClr val="000000"/>
              </a:solidFill>
              <a:cs typeface="David"/>
            </a:rPr>
            <a:t>עצמיים</a:t>
          </a:r>
          <a:endParaRPr lang="he-IL" sz="600" b="1" i="0" u="sng" strike="noStrike">
            <a:solidFill>
              <a:srgbClr val="000000"/>
            </a:solidFill>
            <a:cs typeface="David"/>
          </a:endParaRPr>
        </a:p>
      </cdr:txBody>
    </cdr:sp>
  </cdr:relSizeAnchor>
  <cdr:relSizeAnchor xmlns:cdr="http://schemas.openxmlformats.org/drawingml/2006/chartDrawing">
    <cdr:from>
      <cdr:x>0.22207</cdr:x>
      <cdr:y>0.5366</cdr:y>
    </cdr:from>
    <cdr:to>
      <cdr:x>0.39683</cdr:x>
      <cdr:y>0.59476</cdr:y>
    </cdr:to>
    <cdr:sp macro="" textlink="">
      <cdr:nvSpPr>
        <cdr:cNvPr id="3074" name="Text 2"/>
        <cdr:cNvSpPr txBox="1">
          <a:spLocks xmlns:a="http://schemas.openxmlformats.org/drawingml/2006/main" noChangeArrowheads="1"/>
        </cdr:cNvSpPr>
      </cdr:nvSpPr>
      <cdr:spPr bwMode="auto">
        <a:xfrm xmlns:a="http://schemas.openxmlformats.org/drawingml/2006/main">
          <a:off x="831056" y="2208709"/>
          <a:ext cx="833339" cy="23207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1">
            <a:lnSpc>
              <a:spcPts val="700"/>
            </a:lnSpc>
            <a:defRPr sz="1000"/>
          </a:pPr>
          <a:r>
            <a:rPr lang="he-IL" sz="1200" b="1" i="0" u="sng" strike="noStrike">
              <a:solidFill>
                <a:srgbClr val="000000"/>
              </a:solidFill>
              <a:cs typeface="David"/>
            </a:rPr>
            <a:t>ממשלה</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285750</xdr:colOff>
      <xdr:row>38</xdr:row>
      <xdr:rowOff>152400</xdr:rowOff>
    </xdr:from>
    <xdr:to>
      <xdr:col>9</xdr:col>
      <xdr:colOff>482600</xdr:colOff>
      <xdr:row>64</xdr:row>
      <xdr:rowOff>107950</xdr:rowOff>
    </xdr:to>
    <xdr:graphicFrame macro="">
      <xdr:nvGraphicFramePr>
        <xdr:cNvPr id="52499590"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111</xdr:row>
      <xdr:rowOff>88900</xdr:rowOff>
    </xdr:from>
    <xdr:to>
      <xdr:col>8</xdr:col>
      <xdr:colOff>577850</xdr:colOff>
      <xdr:row>137</xdr:row>
      <xdr:rowOff>88900</xdr:rowOff>
    </xdr:to>
    <xdr:graphicFrame macro="">
      <xdr:nvGraphicFramePr>
        <xdr:cNvPr id="52226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yelet\Local%20Settings\Temporary%20Internet%20Files\Content.Outlook\7A5VHOUI\&#1514;&#1511;&#1510;&#1497;&#1489;%20%202013%20&#1502;&#1495;&#1493;&#1512;&#1489;&#1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akzivim\&#1488;&#1497;&#1497;&#1500;&#1514;\excel\&#1514;&#1511;&#1510;&#1497;&#1489;\&#1514;&#1511;&#1510;&#1497;&#1489;%202016\&#1514;&#1511;&#1510;&#1497;&#1489;%202016%20-%20&#1505;&#1493;&#1508;&#14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hoshz\&#1513;&#1493;&#1500;&#1495;&#1503;%20&#1492;&#1506;&#1489;&#1493;&#1491;&#1492;\&#1514;&#1511;&#1510;&#1497;&#1489;%202010%20-%20&#1506;&#1493;&#1514;&#1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מצית תקציב הועדה המרחבית"/>
      <sheetName val="תקן-משרות"/>
      <sheetName val="תקבולים מפורט"/>
      <sheetName val="תשלומים מפורט"/>
      <sheetName val="מפתח אגפי"/>
      <sheetName val="גיליון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F3" t="str">
            <v>מיסים ואגרות</v>
          </cell>
        </row>
        <row r="4">
          <cell r="F4" t="str">
            <v>ארנונות</v>
          </cell>
        </row>
        <row r="22">
          <cell r="F22" t="str">
            <v>שרותים מקומיים</v>
          </cell>
        </row>
        <row r="23">
          <cell r="F23" t="str">
            <v>תברואה</v>
          </cell>
        </row>
        <row r="32">
          <cell r="F32" t="str">
            <v>שמירה ובטחון</v>
          </cell>
        </row>
        <row r="38">
          <cell r="F38" t="str">
            <v>תכנון ובניין עיר</v>
          </cell>
        </row>
        <row r="45">
          <cell r="F45" t="str">
            <v>נכסים צבוריים</v>
          </cell>
        </row>
        <row r="58">
          <cell r="F58" t="str">
            <v>הכנסות שונות</v>
          </cell>
        </row>
        <row r="64">
          <cell r="F64" t="str">
            <v>פיקוח עירוני</v>
          </cell>
        </row>
        <row r="68">
          <cell r="F68" t="str">
            <v>שרותים חקלאיים</v>
          </cell>
        </row>
        <row r="72">
          <cell r="F72" t="str">
            <v>שרותים ממלכתיים</v>
          </cell>
        </row>
        <row r="73">
          <cell r="F73" t="str">
            <v>ח י נ ו ך</v>
          </cell>
        </row>
        <row r="141">
          <cell r="F141" t="str">
            <v>תרבות, נוער וספורט</v>
          </cell>
        </row>
        <row r="181">
          <cell r="F181" t="str">
            <v>שרותי חברה, רווחה וקהילה</v>
          </cell>
        </row>
        <row r="258">
          <cell r="F258" t="str">
            <v>מפעלים ונכסים</v>
          </cell>
        </row>
        <row r="259">
          <cell r="F259" t="str">
            <v>מים</v>
          </cell>
        </row>
        <row r="263">
          <cell r="F263" t="str">
            <v>נכסים ותחזוקה</v>
          </cell>
        </row>
        <row r="268">
          <cell r="F268" t="str">
            <v>חניית מכוניות</v>
          </cell>
        </row>
        <row r="274">
          <cell r="F274" t="str">
            <v>מפעל הביוב</v>
          </cell>
        </row>
        <row r="281">
          <cell r="F281" t="str">
            <v>תקבולים בלתי רגילים</v>
          </cell>
        </row>
      </sheetData>
      <sheetData sheetId="14">
        <row r="3">
          <cell r="F3" t="str">
            <v xml:space="preserve">משכורות כוללות </v>
          </cell>
        </row>
        <row r="4">
          <cell r="F4" t="str">
            <v>שכר ריכוז ועדות</v>
          </cell>
        </row>
        <row r="134">
          <cell r="F134" t="str">
            <v>משכורות כוללות - מח. רכש (בשנת 2011 פוצל מסעיף 9384/100)</v>
          </cell>
        </row>
        <row r="181">
          <cell r="F181" t="str">
            <v xml:space="preserve">כלכלה ושתיה </v>
          </cell>
        </row>
        <row r="191">
          <cell r="F191" t="str">
            <v>משכורות כוללות - מרכז קשר לטיפול בנוער במצוקה (שעות נוספות)</v>
          </cell>
        </row>
        <row r="219">
          <cell r="F219" t="str">
            <v>שכר דירה (בשנת 2011 תוקצב בנפרד - במקביל בהכנסות בסעיף 32991/428)</v>
          </cell>
        </row>
        <row r="220">
          <cell r="F220" t="str">
            <v>שכר דירה</v>
          </cell>
        </row>
        <row r="275">
          <cell r="F275" t="str">
            <v>דמי שימוש במקרקעין (הר עפר במרינה)</v>
          </cell>
        </row>
        <row r="330">
          <cell r="F330" t="str">
            <v>הוצאות צריכת מים ואגרת ביוב - כללי</v>
          </cell>
        </row>
        <row r="369">
          <cell r="F369" t="str">
            <v xml:space="preserve">הוצאות כיבוד </v>
          </cell>
        </row>
        <row r="457">
          <cell r="F457" t="str">
            <v>טלפון ישיר</v>
          </cell>
        </row>
        <row r="479">
          <cell r="F479" t="str">
            <v xml:space="preserve">פרסומים ודפוס  </v>
          </cell>
        </row>
        <row r="547">
          <cell r="F547" t="str">
            <v>הוצאות מיכון - מעקב דוחו"ת חנייה</v>
          </cell>
        </row>
        <row r="568">
          <cell r="F568" t="str">
            <v>פרע"מ - תשלומים ע"ח קרן</v>
          </cell>
        </row>
        <row r="572">
          <cell r="F572" t="str">
            <v>פרע"מ - תשלומים ע"ח קרן</v>
          </cell>
        </row>
        <row r="573">
          <cell r="F573" t="str">
            <v>פרע"מ - תשלומים ע"ח קרן</v>
          </cell>
        </row>
        <row r="917">
          <cell r="F917" t="str">
            <v>הוצאות אחרות ורזרבת מנהל אגף (כולל ייעוץ ושרותים מקצועיים)</v>
          </cell>
        </row>
        <row r="1234">
          <cell r="F1234" t="str">
            <v>סה"כ  - מינהל אגף שאיפ"ה:</v>
          </cell>
        </row>
        <row r="1265">
          <cell r="F1265" t="str">
            <v>רישוי הבנייה</v>
          </cell>
        </row>
        <row r="1412">
          <cell r="F1412" t="str">
            <v>סה"כ - ספריה ביד התשעה:</v>
          </cell>
        </row>
        <row r="1428">
          <cell r="F1428" t="str">
            <v>סה"כ - מרכז קהילתי ואולם ספורט בנוף ים:</v>
          </cell>
        </row>
        <row r="1443">
          <cell r="F1443" t="str">
            <v>תאגיד התרבות העירוני</v>
          </cell>
        </row>
        <row r="1458">
          <cell r="F1458" t="str">
            <v>סה"כ נוער:</v>
          </cell>
        </row>
        <row r="1459">
          <cell r="F1459" t="str">
            <v>מינהל הספורט וכללי</v>
          </cell>
        </row>
        <row r="1531">
          <cell r="F1531" t="str">
            <v>סה"כ - מועצה דתית:</v>
          </cell>
        </row>
        <row r="1545">
          <cell r="F1545" t="str">
            <v>סה"כ - שרותים ממלכתיים:</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חוק רשויות איתנות, עיקרי החוק"/>
      <sheetName val="יחידתי"/>
      <sheetName val="עצמיות"/>
      <sheetName val="יתר-ממשלה"/>
      <sheetName val="פרקים"/>
      <sheetName val="תמיכות והקצבות"/>
      <sheetName val="תמצית תקציב הועדה המרחבית"/>
      <sheetName val="תקן-משרות"/>
      <sheetName val="תקבולים מפורט"/>
      <sheetName val="תשלומים מפורט"/>
      <sheetName val="מפתח אגפ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קן-משרות"/>
      <sheetName val="תקבולים מפורט"/>
      <sheetName val="תשלומים מפורט"/>
      <sheetName val="מפתח אגפי"/>
    </sheetNames>
    <sheetDataSet>
      <sheetData sheetId="0" refreshError="1"/>
      <sheetData sheetId="1" refreshError="1"/>
      <sheetData sheetId="2" refreshError="1">
        <row r="4">
          <cell r="D4" t="str">
            <v>תקציב</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rightToLeft="1" tabSelected="1" view="pageBreakPreview" zoomScale="70" zoomScaleNormal="50" zoomScaleSheetLayoutView="70" workbookViewId="0">
      <selection activeCell="J26" sqref="J26"/>
    </sheetView>
  </sheetViews>
  <sheetFormatPr defaultColWidth="9" defaultRowHeight="14"/>
  <cols>
    <col min="1" max="1" width="12.58203125" style="550" customWidth="1"/>
    <col min="2" max="2" width="98.58203125" style="550" customWidth="1"/>
    <col min="3" max="3" width="16.08203125" style="550" customWidth="1"/>
    <col min="4" max="16384" width="9" style="550"/>
  </cols>
  <sheetData>
    <row r="1" spans="1:16" ht="40.5" customHeight="1">
      <c r="A1" s="547"/>
      <c r="B1" s="548"/>
      <c r="C1" s="549"/>
      <c r="D1" s="547"/>
      <c r="E1" s="547"/>
      <c r="F1" s="547"/>
      <c r="G1" s="547"/>
      <c r="H1" s="547"/>
      <c r="I1" s="547"/>
      <c r="J1" s="547"/>
      <c r="K1" s="547"/>
      <c r="L1" s="547"/>
      <c r="M1" s="547"/>
      <c r="N1" s="547"/>
      <c r="O1" s="547"/>
      <c r="P1" s="547"/>
    </row>
    <row r="2" spans="1:16">
      <c r="A2" s="547"/>
      <c r="B2" s="551"/>
      <c r="C2" s="549"/>
      <c r="D2" s="547"/>
      <c r="E2" s="547"/>
      <c r="F2" s="547"/>
      <c r="G2" s="547"/>
      <c r="H2" s="547"/>
      <c r="I2" s="547"/>
      <c r="J2" s="547"/>
      <c r="K2" s="547"/>
      <c r="L2" s="547"/>
      <c r="M2" s="547"/>
      <c r="N2" s="547"/>
      <c r="O2" s="547"/>
      <c r="P2" s="547"/>
    </row>
    <row r="3" spans="1:16">
      <c r="B3" s="551"/>
      <c r="C3" s="549"/>
    </row>
    <row r="4" spans="1:16">
      <c r="B4" s="551"/>
      <c r="C4" s="549"/>
    </row>
    <row r="5" spans="1:16">
      <c r="A5" s="547"/>
      <c r="C5" s="549"/>
    </row>
    <row r="6" spans="1:16">
      <c r="C6" s="549"/>
    </row>
    <row r="7" spans="1:16">
      <c r="C7" s="549"/>
    </row>
    <row r="8" spans="1:16">
      <c r="B8" s="551"/>
      <c r="C8" s="549"/>
    </row>
    <row r="9" spans="1:16">
      <c r="B9" s="551"/>
      <c r="C9" s="549"/>
    </row>
    <row r="10" spans="1:16">
      <c r="B10" s="549"/>
      <c r="C10" s="549"/>
    </row>
    <row r="11" spans="1:16">
      <c r="B11" s="549"/>
      <c r="C11" s="549"/>
    </row>
    <row r="12" spans="1:16" ht="30" customHeight="1">
      <c r="B12" s="552"/>
      <c r="C12" s="549"/>
    </row>
    <row r="13" spans="1:16">
      <c r="A13" s="553"/>
      <c r="B13" s="549"/>
      <c r="C13" s="549"/>
    </row>
    <row r="14" spans="1:16">
      <c r="A14" s="553"/>
      <c r="B14" s="549"/>
      <c r="C14" s="549"/>
    </row>
    <row r="15" spans="1:16">
      <c r="A15" s="553"/>
      <c r="B15" s="547"/>
      <c r="C15" s="547"/>
    </row>
    <row r="16" spans="1:16">
      <c r="A16" s="553"/>
      <c r="B16" s="547"/>
    </row>
    <row r="17" spans="1:5">
      <c r="A17" s="553"/>
      <c r="B17" s="547"/>
    </row>
    <row r="18" spans="1:5" ht="14.25" customHeight="1">
      <c r="A18" s="553"/>
      <c r="B18" s="554"/>
    </row>
    <row r="19" spans="1:5" ht="17.5">
      <c r="A19" s="553"/>
      <c r="B19" s="555"/>
    </row>
    <row r="20" spans="1:5">
      <c r="A20" s="553"/>
    </row>
    <row r="21" spans="1:5">
      <c r="A21" s="553"/>
    </row>
    <row r="22" spans="1:5" s="547" customFormat="1">
      <c r="A22" s="553"/>
      <c r="B22" s="550"/>
    </row>
    <row r="23" spans="1:5" s="547" customFormat="1">
      <c r="A23" s="553"/>
      <c r="B23" s="550"/>
    </row>
    <row r="24" spans="1:5" s="547" customFormat="1">
      <c r="A24" s="553"/>
      <c r="B24" s="550"/>
    </row>
    <row r="25" spans="1:5" s="547" customFormat="1" ht="35.25" customHeight="1">
      <c r="A25" s="553"/>
      <c r="B25" s="550"/>
    </row>
    <row r="26" spans="1:5" ht="35.5">
      <c r="B26" s="556"/>
    </row>
    <row r="27" spans="1:5" ht="18.75" customHeight="1">
      <c r="B27" s="556"/>
    </row>
    <row r="28" spans="1:5" s="558" customFormat="1" ht="17.25" customHeight="1">
      <c r="A28" s="550"/>
      <c r="B28" s="556"/>
      <c r="C28" s="550"/>
      <c r="D28" s="557"/>
      <c r="E28" s="557"/>
    </row>
    <row r="29" spans="1:5" ht="24" customHeight="1">
      <c r="B29" s="556"/>
      <c r="D29" s="549"/>
      <c r="E29" s="549"/>
    </row>
    <row r="30" spans="1:5" ht="35.5">
      <c r="B30" s="556"/>
    </row>
    <row r="31" spans="1:5" ht="35.5">
      <c r="B31" s="556"/>
    </row>
    <row r="32" spans="1:5" ht="35.5">
      <c r="B32" s="556"/>
    </row>
    <row r="33" spans="2:2">
      <c r="B33" s="547"/>
    </row>
    <row r="34" spans="2:2">
      <c r="B34" s="547"/>
    </row>
    <row r="35" spans="2:2">
      <c r="B35" s="547"/>
    </row>
    <row r="36" spans="2:2">
      <c r="B36" s="547"/>
    </row>
    <row r="37" spans="2:2">
      <c r="B37" s="547"/>
    </row>
    <row r="38" spans="2:2">
      <c r="B38" s="547"/>
    </row>
    <row r="39" spans="2:2">
      <c r="B39" s="547"/>
    </row>
    <row r="40" spans="2:2">
      <c r="B40" s="547"/>
    </row>
    <row r="41" spans="2:2">
      <c r="B41" s="547"/>
    </row>
    <row r="42" spans="2:2">
      <c r="B42" s="547"/>
    </row>
  </sheetData>
  <printOptions horizontalCentered="1"/>
  <pageMargins left="0.38" right="0.34" top="0.67" bottom="0.44" header="0.25" footer="0.6"/>
  <pageSetup paperSize="9" scale="78" orientation="landscape" r:id="rId1"/>
  <headerFooter alignWithMargins="0"/>
  <rowBreaks count="3" manualBreakCount="3">
    <brk id="212" max="16383" man="1"/>
    <brk id="224" max="16383" man="1"/>
    <brk id="119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07"/>
  <sheetViews>
    <sheetView showGridLines="0" rightToLeft="1" view="pageBreakPreview" topLeftCell="A4" zoomScale="90" zoomScaleNormal="90" zoomScaleSheetLayoutView="90" workbookViewId="0">
      <selection activeCell="D68" sqref="D68"/>
    </sheetView>
  </sheetViews>
  <sheetFormatPr defaultColWidth="9" defaultRowHeight="14"/>
  <cols>
    <col min="1" max="1" width="21" style="37" customWidth="1"/>
    <col min="2" max="2" width="5.08203125" style="113" customWidth="1"/>
    <col min="3" max="3" width="5.58203125" style="113" customWidth="1"/>
    <col min="4" max="4" width="64.08203125" style="105" customWidth="1"/>
    <col min="5" max="5" width="8.58203125" style="194" customWidth="1"/>
    <col min="6" max="6" width="9.08203125" style="194" customWidth="1"/>
    <col min="7" max="16384" width="9" style="1"/>
  </cols>
  <sheetData>
    <row r="1" spans="1:8" ht="16.5" hidden="1" customHeight="1">
      <c r="A1" s="56" t="s">
        <v>590</v>
      </c>
      <c r="B1" s="8" t="s">
        <v>649</v>
      </c>
      <c r="C1" s="8"/>
    </row>
    <row r="2" spans="1:8" ht="16.5" hidden="1" customHeight="1">
      <c r="B2" s="9" t="s">
        <v>1325</v>
      </c>
      <c r="C2" s="7"/>
    </row>
    <row r="3" spans="1:8" ht="16.5" hidden="1" customHeight="1">
      <c r="B3" s="9" t="s">
        <v>591</v>
      </c>
      <c r="C3" s="7"/>
    </row>
    <row r="4" spans="1:8" ht="16.5" customHeight="1">
      <c r="A4" s="1142" t="s">
        <v>1014</v>
      </c>
      <c r="B4" s="1142"/>
      <c r="C4" s="1142"/>
      <c r="D4" s="1142"/>
      <c r="E4" s="1142"/>
      <c r="F4" s="1142"/>
    </row>
    <row r="5" spans="1:8" ht="12" customHeight="1" thickBot="1">
      <c r="A5" s="57"/>
      <c r="B5" s="7"/>
      <c r="C5" s="7"/>
      <c r="D5" s="106"/>
    </row>
    <row r="6" spans="1:8" ht="18.649999999999999" customHeight="1">
      <c r="A6" s="1143" t="s">
        <v>592</v>
      </c>
      <c r="B6" s="1145" t="s">
        <v>649</v>
      </c>
      <c r="C6" s="1147" t="s">
        <v>650</v>
      </c>
      <c r="D6" s="107" t="str">
        <f>פרקים!C2</f>
        <v>ה צ ע ת  התקציב הרגיל לשנת: 2021</v>
      </c>
      <c r="E6" s="188" t="s">
        <v>780</v>
      </c>
      <c r="F6" s="189" t="s">
        <v>780</v>
      </c>
    </row>
    <row r="7" spans="1:8" ht="18.649999999999999" customHeight="1" thickBot="1">
      <c r="A7" s="1144"/>
      <c r="B7" s="1146"/>
      <c r="C7" s="1148"/>
      <c r="D7" s="108" t="s">
        <v>564</v>
      </c>
      <c r="E7" s="190" t="s">
        <v>2081</v>
      </c>
      <c r="F7" s="191" t="s">
        <v>2080</v>
      </c>
    </row>
    <row r="8" spans="1:8" s="100" customFormat="1" ht="21" customHeight="1">
      <c r="A8" s="322" t="s">
        <v>297</v>
      </c>
      <c r="B8" s="323">
        <v>811</v>
      </c>
      <c r="C8" s="324">
        <v>723000</v>
      </c>
      <c r="D8" s="409" t="s">
        <v>89</v>
      </c>
      <c r="E8" s="325">
        <v>645</v>
      </c>
      <c r="F8" s="196">
        <v>645</v>
      </c>
      <c r="G8" s="543"/>
      <c r="H8" s="543"/>
    </row>
    <row r="9" spans="1:8" s="100" customFormat="1" ht="21" customHeight="1">
      <c r="A9" s="215" t="s">
        <v>297</v>
      </c>
      <c r="B9" s="102">
        <v>812</v>
      </c>
      <c r="C9" s="103">
        <v>723000</v>
      </c>
      <c r="D9" s="104" t="s">
        <v>1727</v>
      </c>
      <c r="E9" s="195">
        <v>7</v>
      </c>
      <c r="F9" s="197">
        <v>7</v>
      </c>
      <c r="G9" s="543"/>
      <c r="H9" s="543"/>
    </row>
    <row r="10" spans="1:8" s="100" customFormat="1" ht="21" customHeight="1">
      <c r="A10" s="215" t="s">
        <v>831</v>
      </c>
      <c r="B10" s="102">
        <v>830</v>
      </c>
      <c r="C10" s="103">
        <v>745000</v>
      </c>
      <c r="D10" s="410" t="s">
        <v>93</v>
      </c>
      <c r="E10" s="195">
        <v>507</v>
      </c>
      <c r="F10" s="197">
        <v>507</v>
      </c>
      <c r="G10" s="543"/>
      <c r="H10" s="543"/>
    </row>
    <row r="11" spans="1:8" s="100" customFormat="1" ht="21" customHeight="1">
      <c r="A11" s="215" t="s">
        <v>212</v>
      </c>
      <c r="B11" s="102">
        <v>811</v>
      </c>
      <c r="C11" s="103">
        <v>765000</v>
      </c>
      <c r="D11" s="410" t="s">
        <v>213</v>
      </c>
      <c r="E11" s="195">
        <v>320</v>
      </c>
      <c r="F11" s="197">
        <v>320</v>
      </c>
      <c r="G11" s="543"/>
      <c r="H11" s="543"/>
    </row>
    <row r="12" spans="1:8" s="100" customFormat="1" ht="21" customHeight="1">
      <c r="A12" s="215" t="s">
        <v>212</v>
      </c>
      <c r="B12" s="102">
        <v>812</v>
      </c>
      <c r="C12" s="103">
        <v>765000</v>
      </c>
      <c r="D12" s="410" t="s">
        <v>783</v>
      </c>
      <c r="E12" s="195">
        <v>67</v>
      </c>
      <c r="F12" s="197">
        <v>68</v>
      </c>
      <c r="G12" s="543"/>
      <c r="H12" s="543"/>
    </row>
    <row r="13" spans="1:8" s="100" customFormat="1" ht="21" customHeight="1">
      <c r="A13" s="215" t="s">
        <v>212</v>
      </c>
      <c r="B13" s="102">
        <v>820</v>
      </c>
      <c r="C13" s="103">
        <v>765000</v>
      </c>
      <c r="D13" s="410" t="s">
        <v>1598</v>
      </c>
      <c r="E13" s="195">
        <v>128</v>
      </c>
      <c r="F13" s="197">
        <v>128</v>
      </c>
      <c r="G13" s="543"/>
      <c r="H13" s="543"/>
    </row>
    <row r="14" spans="1:8" s="100" customFormat="1" ht="21" customHeight="1">
      <c r="A14" s="215" t="s">
        <v>212</v>
      </c>
      <c r="B14" s="102">
        <v>822</v>
      </c>
      <c r="C14" s="103">
        <v>765000</v>
      </c>
      <c r="D14" s="410" t="s">
        <v>1816</v>
      </c>
      <c r="E14" s="195">
        <v>111</v>
      </c>
      <c r="F14" s="197">
        <v>111</v>
      </c>
      <c r="G14" s="543"/>
      <c r="H14" s="543"/>
    </row>
    <row r="15" spans="1:8" s="100" customFormat="1" ht="21" customHeight="1">
      <c r="A15" s="215" t="s">
        <v>212</v>
      </c>
      <c r="B15" s="102">
        <v>823</v>
      </c>
      <c r="C15" s="103">
        <v>765000</v>
      </c>
      <c r="D15" s="410" t="s">
        <v>1886</v>
      </c>
      <c r="E15" s="195">
        <v>387</v>
      </c>
      <c r="F15" s="197">
        <v>387</v>
      </c>
      <c r="G15" s="543"/>
      <c r="H15" s="543"/>
    </row>
    <row r="16" spans="1:8" s="100" customFormat="1" ht="21" customHeight="1">
      <c r="A16" s="215" t="s">
        <v>212</v>
      </c>
      <c r="B16" s="102">
        <v>825</v>
      </c>
      <c r="C16" s="103">
        <v>765000</v>
      </c>
      <c r="D16" s="410" t="s">
        <v>1817</v>
      </c>
      <c r="E16" s="195">
        <v>22</v>
      </c>
      <c r="F16" s="197">
        <v>22</v>
      </c>
      <c r="G16" s="543"/>
      <c r="H16" s="543"/>
    </row>
    <row r="17" spans="1:8" s="100" customFormat="1" ht="21" customHeight="1">
      <c r="A17" s="215" t="s">
        <v>719</v>
      </c>
      <c r="B17" s="102">
        <v>810</v>
      </c>
      <c r="C17" s="103">
        <v>766000</v>
      </c>
      <c r="D17" s="410" t="s">
        <v>415</v>
      </c>
      <c r="E17" s="195">
        <v>2800</v>
      </c>
      <c r="F17" s="197">
        <v>2550</v>
      </c>
      <c r="G17" s="543"/>
      <c r="H17" s="543"/>
    </row>
    <row r="18" spans="1:8" s="100" customFormat="1" ht="21" customHeight="1">
      <c r="A18" s="215" t="s">
        <v>719</v>
      </c>
      <c r="B18" s="102">
        <v>811</v>
      </c>
      <c r="C18" s="103">
        <v>766000</v>
      </c>
      <c r="D18" s="410" t="s">
        <v>1030</v>
      </c>
      <c r="E18" s="195">
        <v>300</v>
      </c>
      <c r="F18" s="197">
        <v>300</v>
      </c>
      <c r="G18" s="543"/>
      <c r="H18" s="543"/>
    </row>
    <row r="19" spans="1:8" s="100" customFormat="1" ht="21" customHeight="1">
      <c r="A19" s="215" t="s">
        <v>719</v>
      </c>
      <c r="B19" s="102">
        <v>812</v>
      </c>
      <c r="C19" s="103">
        <v>766000</v>
      </c>
      <c r="D19" s="410" t="s">
        <v>1134</v>
      </c>
      <c r="E19" s="195">
        <v>1270</v>
      </c>
      <c r="F19" s="197">
        <v>1270</v>
      </c>
      <c r="G19" s="543"/>
      <c r="H19" s="543"/>
    </row>
    <row r="20" spans="1:8" s="100" customFormat="1" ht="21" customHeight="1">
      <c r="A20" s="215" t="s">
        <v>1135</v>
      </c>
      <c r="B20" s="102">
        <v>810</v>
      </c>
      <c r="C20" s="103">
        <v>791000</v>
      </c>
      <c r="D20" s="410" t="s">
        <v>919</v>
      </c>
      <c r="E20" s="195">
        <v>27</v>
      </c>
      <c r="F20" s="197">
        <v>70</v>
      </c>
      <c r="G20" s="543"/>
      <c r="H20" s="543"/>
    </row>
    <row r="21" spans="1:8" s="100" customFormat="1" ht="21" customHeight="1">
      <c r="A21" s="215" t="s">
        <v>594</v>
      </c>
      <c r="B21" s="102">
        <v>873</v>
      </c>
      <c r="C21" s="103">
        <v>813200</v>
      </c>
      <c r="D21" s="410" t="s">
        <v>1931</v>
      </c>
      <c r="E21" s="195">
        <v>60</v>
      </c>
      <c r="F21" s="197">
        <v>46</v>
      </c>
      <c r="G21" s="543"/>
      <c r="H21" s="543"/>
    </row>
    <row r="22" spans="1:8" s="100" customFormat="1" ht="21" customHeight="1">
      <c r="A22" s="215" t="s">
        <v>594</v>
      </c>
      <c r="B22" s="102">
        <v>876</v>
      </c>
      <c r="C22" s="103">
        <v>813200</v>
      </c>
      <c r="D22" s="410" t="s">
        <v>2058</v>
      </c>
      <c r="E22" s="195">
        <v>391</v>
      </c>
      <c r="F22" s="197">
        <v>331</v>
      </c>
      <c r="G22" s="543"/>
      <c r="H22" s="543"/>
    </row>
    <row r="23" spans="1:8" s="100" customFormat="1" ht="21" customHeight="1">
      <c r="A23" s="215" t="s">
        <v>594</v>
      </c>
      <c r="B23" s="102">
        <v>877</v>
      </c>
      <c r="C23" s="103">
        <v>813200</v>
      </c>
      <c r="D23" s="410" t="s">
        <v>1431</v>
      </c>
      <c r="E23" s="195">
        <v>774</v>
      </c>
      <c r="F23" s="197">
        <v>701</v>
      </c>
      <c r="G23" s="543"/>
      <c r="H23" s="543"/>
    </row>
    <row r="24" spans="1:8" s="100" customFormat="1" ht="21" customHeight="1">
      <c r="A24" s="215" t="s">
        <v>594</v>
      </c>
      <c r="B24" s="102">
        <v>878</v>
      </c>
      <c r="C24" s="103">
        <v>813200</v>
      </c>
      <c r="D24" s="410" t="s">
        <v>170</v>
      </c>
      <c r="E24" s="195">
        <v>4799</v>
      </c>
      <c r="F24" s="197">
        <v>4705</v>
      </c>
      <c r="G24" s="543"/>
      <c r="H24" s="543"/>
    </row>
    <row r="25" spans="1:8" s="100" customFormat="1" ht="21" customHeight="1">
      <c r="A25" s="215" t="s">
        <v>424</v>
      </c>
      <c r="B25" s="102">
        <v>878</v>
      </c>
      <c r="C25" s="103">
        <v>813210</v>
      </c>
      <c r="D25" s="410" t="s">
        <v>417</v>
      </c>
      <c r="E25" s="195">
        <v>118</v>
      </c>
      <c r="F25" s="197">
        <v>118</v>
      </c>
      <c r="G25" s="543"/>
      <c r="H25" s="543"/>
    </row>
    <row r="26" spans="1:8" s="100" customFormat="1" ht="21" customHeight="1">
      <c r="A26" s="215" t="s">
        <v>1003</v>
      </c>
      <c r="B26" s="102">
        <v>871</v>
      </c>
      <c r="C26" s="103">
        <v>813600</v>
      </c>
      <c r="D26" s="410" t="s">
        <v>2059</v>
      </c>
      <c r="E26" s="195">
        <v>314</v>
      </c>
      <c r="F26" s="197">
        <v>314</v>
      </c>
      <c r="G26" s="543"/>
      <c r="H26" s="543"/>
    </row>
    <row r="27" spans="1:8" s="100" customFormat="1" ht="21" customHeight="1">
      <c r="A27" s="215" t="s">
        <v>1003</v>
      </c>
      <c r="B27" s="102">
        <v>873</v>
      </c>
      <c r="C27" s="103">
        <v>813600</v>
      </c>
      <c r="D27" s="410" t="s">
        <v>1972</v>
      </c>
      <c r="E27" s="195">
        <v>545</v>
      </c>
      <c r="F27" s="197">
        <v>545</v>
      </c>
      <c r="G27" s="543"/>
      <c r="H27" s="543"/>
    </row>
    <row r="28" spans="1:8" s="100" customFormat="1" ht="28.5" customHeight="1">
      <c r="A28" s="215" t="s">
        <v>1003</v>
      </c>
      <c r="B28" s="102">
        <v>874</v>
      </c>
      <c r="C28" s="103">
        <v>813600</v>
      </c>
      <c r="D28" s="410" t="s">
        <v>1973</v>
      </c>
      <c r="E28" s="195">
        <v>95</v>
      </c>
      <c r="F28" s="197">
        <v>95</v>
      </c>
      <c r="G28" s="543"/>
      <c r="H28" s="543"/>
    </row>
    <row r="29" spans="1:8" s="100" customFormat="1" ht="21" customHeight="1">
      <c r="A29" s="215" t="s">
        <v>1003</v>
      </c>
      <c r="B29" s="102">
        <v>875</v>
      </c>
      <c r="C29" s="103">
        <v>813600</v>
      </c>
      <c r="D29" s="410" t="s">
        <v>2060</v>
      </c>
      <c r="E29" s="195">
        <v>82</v>
      </c>
      <c r="F29" s="197">
        <v>82</v>
      </c>
      <c r="G29" s="543"/>
      <c r="H29" s="543"/>
    </row>
    <row r="30" spans="1:8" s="100" customFormat="1" ht="21" customHeight="1">
      <c r="A30" s="215" t="s">
        <v>1003</v>
      </c>
      <c r="B30" s="102">
        <v>876</v>
      </c>
      <c r="C30" s="103">
        <v>813600</v>
      </c>
      <c r="D30" s="410" t="s">
        <v>2061</v>
      </c>
      <c r="E30" s="195">
        <v>130</v>
      </c>
      <c r="F30" s="197">
        <v>130</v>
      </c>
      <c r="G30" s="543"/>
      <c r="H30" s="543"/>
    </row>
    <row r="31" spans="1:8" s="100" customFormat="1" ht="21" customHeight="1">
      <c r="A31" s="215" t="s">
        <v>1003</v>
      </c>
      <c r="B31" s="102">
        <v>877</v>
      </c>
      <c r="C31" s="103">
        <v>813600</v>
      </c>
      <c r="D31" s="410" t="s">
        <v>637</v>
      </c>
      <c r="E31" s="195">
        <v>85</v>
      </c>
      <c r="F31" s="197">
        <v>101</v>
      </c>
      <c r="G31" s="543"/>
      <c r="H31" s="543"/>
    </row>
    <row r="32" spans="1:8" s="100" customFormat="1" ht="21" customHeight="1">
      <c r="A32" s="215" t="s">
        <v>1362</v>
      </c>
      <c r="B32" s="102">
        <v>870</v>
      </c>
      <c r="C32" s="103">
        <v>813800</v>
      </c>
      <c r="D32" s="410" t="s">
        <v>1366</v>
      </c>
      <c r="E32" s="195">
        <v>92</v>
      </c>
      <c r="F32" s="197">
        <v>145</v>
      </c>
      <c r="G32" s="543"/>
      <c r="H32" s="543"/>
    </row>
    <row r="33" spans="1:8" s="100" customFormat="1" ht="21" customHeight="1">
      <c r="A33" s="215" t="s">
        <v>638</v>
      </c>
      <c r="B33" s="102">
        <v>871</v>
      </c>
      <c r="C33" s="103">
        <v>814000</v>
      </c>
      <c r="D33" s="410" t="s">
        <v>2377</v>
      </c>
      <c r="E33" s="195">
        <v>48</v>
      </c>
      <c r="F33" s="197">
        <v>48</v>
      </c>
      <c r="G33" s="543"/>
      <c r="H33" s="543"/>
    </row>
    <row r="34" spans="1:8" s="100" customFormat="1" ht="21" customHeight="1">
      <c r="A34" s="215" t="s">
        <v>638</v>
      </c>
      <c r="B34" s="102">
        <v>872</v>
      </c>
      <c r="C34" s="103">
        <v>814000</v>
      </c>
      <c r="D34" s="410" t="s">
        <v>2378</v>
      </c>
      <c r="E34" s="195">
        <v>48</v>
      </c>
      <c r="F34" s="197">
        <v>48</v>
      </c>
      <c r="G34" s="543"/>
      <c r="H34" s="543"/>
    </row>
    <row r="35" spans="1:8" s="100" customFormat="1" ht="21" customHeight="1">
      <c r="A35" s="215" t="s">
        <v>638</v>
      </c>
      <c r="B35" s="102">
        <v>873</v>
      </c>
      <c r="C35" s="103">
        <v>814000</v>
      </c>
      <c r="D35" s="410" t="s">
        <v>1330</v>
      </c>
      <c r="E35" s="195">
        <v>130</v>
      </c>
      <c r="F35" s="197">
        <v>130</v>
      </c>
      <c r="G35" s="543"/>
      <c r="H35" s="543"/>
    </row>
    <row r="36" spans="1:8" s="100" customFormat="1" ht="21" customHeight="1">
      <c r="A36" s="215" t="s">
        <v>638</v>
      </c>
      <c r="B36" s="102">
        <v>878</v>
      </c>
      <c r="C36" s="103">
        <v>814000</v>
      </c>
      <c r="D36" s="410" t="s">
        <v>374</v>
      </c>
      <c r="E36" s="195">
        <v>1736</v>
      </c>
      <c r="F36" s="197">
        <v>1666</v>
      </c>
      <c r="G36" s="543"/>
      <c r="H36" s="543"/>
    </row>
    <row r="37" spans="1:8" s="100" customFormat="1" ht="21" customHeight="1">
      <c r="A37" s="215" t="s">
        <v>1009</v>
      </c>
      <c r="B37" s="102">
        <v>870</v>
      </c>
      <c r="C37" s="103">
        <v>814100</v>
      </c>
      <c r="D37" s="410" t="s">
        <v>1719</v>
      </c>
      <c r="E37" s="195">
        <v>330</v>
      </c>
      <c r="F37" s="197">
        <v>330</v>
      </c>
      <c r="G37" s="543"/>
      <c r="H37" s="543"/>
    </row>
    <row r="38" spans="1:8" s="100" customFormat="1" ht="21" customHeight="1">
      <c r="A38" s="215" t="s">
        <v>1009</v>
      </c>
      <c r="B38" s="102">
        <v>878</v>
      </c>
      <c r="C38" s="103">
        <v>814100</v>
      </c>
      <c r="D38" s="410" t="s">
        <v>417</v>
      </c>
      <c r="E38" s="195">
        <v>251</v>
      </c>
      <c r="F38" s="197">
        <v>251</v>
      </c>
      <c r="G38" s="543"/>
      <c r="H38" s="543"/>
    </row>
    <row r="39" spans="1:8" s="100" customFormat="1" ht="21" customHeight="1">
      <c r="A39" s="215" t="s">
        <v>751</v>
      </c>
      <c r="B39" s="102">
        <v>873</v>
      </c>
      <c r="C39" s="103">
        <v>815200</v>
      </c>
      <c r="D39" s="410" t="s">
        <v>1294</v>
      </c>
      <c r="E39" s="195">
        <v>25</v>
      </c>
      <c r="F39" s="197">
        <v>68</v>
      </c>
      <c r="G39" s="543"/>
      <c r="H39" s="543"/>
    </row>
    <row r="40" spans="1:8" s="100" customFormat="1" ht="21" customHeight="1">
      <c r="A40" s="215" t="s">
        <v>751</v>
      </c>
      <c r="B40" s="102">
        <v>878</v>
      </c>
      <c r="C40" s="103">
        <v>815200</v>
      </c>
      <c r="D40" s="410" t="s">
        <v>894</v>
      </c>
      <c r="E40" s="195">
        <v>2184</v>
      </c>
      <c r="F40" s="197">
        <v>2108</v>
      </c>
      <c r="G40" s="543"/>
      <c r="H40" s="543"/>
    </row>
    <row r="41" spans="1:8" s="100" customFormat="1" ht="21" customHeight="1">
      <c r="A41" s="215" t="s">
        <v>505</v>
      </c>
      <c r="B41" s="102">
        <v>870</v>
      </c>
      <c r="C41" s="103">
        <v>817200</v>
      </c>
      <c r="D41" s="104" t="s">
        <v>417</v>
      </c>
      <c r="E41" s="195">
        <v>44</v>
      </c>
      <c r="F41" s="197">
        <v>44</v>
      </c>
      <c r="G41" s="543"/>
      <c r="H41" s="543"/>
    </row>
    <row r="42" spans="1:8" s="100" customFormat="1" ht="21" customHeight="1">
      <c r="A42" s="215" t="s">
        <v>672</v>
      </c>
      <c r="B42" s="102">
        <v>870</v>
      </c>
      <c r="C42" s="103">
        <v>818000</v>
      </c>
      <c r="D42" s="104" t="s">
        <v>2062</v>
      </c>
      <c r="E42" s="195">
        <v>118</v>
      </c>
      <c r="F42" s="197">
        <v>118</v>
      </c>
      <c r="G42" s="543"/>
      <c r="H42" s="543"/>
    </row>
    <row r="43" spans="1:8" s="100" customFormat="1" ht="21" customHeight="1">
      <c r="A43" s="215" t="s">
        <v>672</v>
      </c>
      <c r="B43" s="102">
        <v>871</v>
      </c>
      <c r="C43" s="103">
        <v>818000</v>
      </c>
      <c r="D43" s="410" t="s">
        <v>1900</v>
      </c>
      <c r="E43" s="195">
        <v>67</v>
      </c>
      <c r="F43" s="197">
        <v>67</v>
      </c>
      <c r="G43" s="543"/>
      <c r="H43" s="543"/>
    </row>
    <row r="44" spans="1:8" s="100" customFormat="1" ht="21" customHeight="1">
      <c r="A44" s="215" t="s">
        <v>672</v>
      </c>
      <c r="B44" s="102">
        <v>872</v>
      </c>
      <c r="C44" s="103">
        <v>818000</v>
      </c>
      <c r="D44" s="410" t="s">
        <v>2063</v>
      </c>
      <c r="E44" s="195">
        <v>63</v>
      </c>
      <c r="F44" s="197">
        <v>63</v>
      </c>
      <c r="G44" s="543"/>
      <c r="H44" s="543"/>
    </row>
    <row r="45" spans="1:8" s="100" customFormat="1" ht="21" customHeight="1">
      <c r="A45" s="215" t="s">
        <v>629</v>
      </c>
      <c r="B45" s="102">
        <v>870</v>
      </c>
      <c r="C45" s="103">
        <v>822000</v>
      </c>
      <c r="D45" s="410" t="s">
        <v>2387</v>
      </c>
      <c r="E45" s="195">
        <v>0</v>
      </c>
      <c r="F45" s="197">
        <v>740</v>
      </c>
      <c r="G45" s="543"/>
      <c r="H45" s="543"/>
    </row>
    <row r="46" spans="1:8" s="100" customFormat="1" ht="21" customHeight="1">
      <c r="A46" s="215" t="s">
        <v>630</v>
      </c>
      <c r="B46" s="102">
        <v>870</v>
      </c>
      <c r="C46" s="103">
        <v>823200</v>
      </c>
      <c r="D46" s="410" t="s">
        <v>1974</v>
      </c>
      <c r="E46" s="195">
        <v>167</v>
      </c>
      <c r="F46" s="197">
        <v>167</v>
      </c>
      <c r="G46" s="543"/>
      <c r="H46" s="543"/>
    </row>
    <row r="47" spans="1:8" s="100" customFormat="1" ht="21" customHeight="1">
      <c r="A47" s="215" t="s">
        <v>740</v>
      </c>
      <c r="B47" s="102">
        <v>870</v>
      </c>
      <c r="C47" s="103">
        <v>823300</v>
      </c>
      <c r="D47" s="410" t="s">
        <v>2064</v>
      </c>
      <c r="E47" s="195">
        <v>173</v>
      </c>
      <c r="F47" s="197">
        <v>173</v>
      </c>
      <c r="G47" s="543"/>
      <c r="H47" s="543"/>
    </row>
    <row r="48" spans="1:8" s="100" customFormat="1" ht="21" customHeight="1">
      <c r="A48" s="215" t="s">
        <v>1975</v>
      </c>
      <c r="B48" s="102">
        <v>870</v>
      </c>
      <c r="C48" s="103">
        <v>824100</v>
      </c>
      <c r="D48" s="410" t="s">
        <v>88</v>
      </c>
      <c r="E48" s="195">
        <v>1285</v>
      </c>
      <c r="F48" s="197">
        <v>1285</v>
      </c>
      <c r="G48" s="543"/>
      <c r="H48" s="543"/>
    </row>
    <row r="49" spans="1:8" s="100" customFormat="1" ht="21" customHeight="1">
      <c r="A49" s="215" t="s">
        <v>1975</v>
      </c>
      <c r="B49" s="102">
        <v>875</v>
      </c>
      <c r="C49" s="103">
        <v>824100</v>
      </c>
      <c r="D49" s="410" t="s">
        <v>1976</v>
      </c>
      <c r="E49" s="195">
        <v>56</v>
      </c>
      <c r="F49" s="197">
        <v>56</v>
      </c>
      <c r="G49" s="543"/>
      <c r="H49" s="543"/>
    </row>
    <row r="50" spans="1:8" s="100" customFormat="1" ht="21" customHeight="1">
      <c r="A50" s="215" t="s">
        <v>1975</v>
      </c>
      <c r="B50" s="102">
        <v>876</v>
      </c>
      <c r="C50" s="103">
        <v>824100</v>
      </c>
      <c r="D50" s="410" t="s">
        <v>2065</v>
      </c>
      <c r="E50" s="195">
        <v>759</v>
      </c>
      <c r="F50" s="197">
        <v>759</v>
      </c>
      <c r="G50" s="543"/>
      <c r="H50" s="543"/>
    </row>
    <row r="51" spans="1:8" s="100" customFormat="1" ht="21" customHeight="1">
      <c r="A51" s="215" t="s">
        <v>875</v>
      </c>
      <c r="B51" s="102">
        <v>870</v>
      </c>
      <c r="C51" s="103">
        <v>824200</v>
      </c>
      <c r="D51" s="410" t="s">
        <v>88</v>
      </c>
      <c r="E51" s="195">
        <v>1157</v>
      </c>
      <c r="F51" s="197">
        <v>1157</v>
      </c>
      <c r="G51" s="543"/>
      <c r="H51" s="543"/>
    </row>
    <row r="52" spans="1:8" s="100" customFormat="1" ht="21" customHeight="1">
      <c r="A52" s="215" t="s">
        <v>876</v>
      </c>
      <c r="B52" s="102">
        <v>870</v>
      </c>
      <c r="C52" s="103">
        <v>824300</v>
      </c>
      <c r="D52" s="410" t="s">
        <v>877</v>
      </c>
      <c r="E52" s="195">
        <v>1336</v>
      </c>
      <c r="F52" s="197">
        <v>1336</v>
      </c>
      <c r="G52" s="543"/>
      <c r="H52" s="543"/>
    </row>
    <row r="53" spans="1:8" s="100" customFormat="1" ht="21" customHeight="1">
      <c r="A53" s="215" t="s">
        <v>878</v>
      </c>
      <c r="B53" s="102">
        <v>870</v>
      </c>
      <c r="C53" s="103">
        <v>824510</v>
      </c>
      <c r="D53" s="410" t="s">
        <v>1437</v>
      </c>
      <c r="E53" s="195">
        <v>870</v>
      </c>
      <c r="F53" s="197">
        <v>780</v>
      </c>
      <c r="G53" s="543"/>
      <c r="H53" s="543"/>
    </row>
    <row r="54" spans="1:8" s="100" customFormat="1" ht="21" customHeight="1">
      <c r="A54" s="215" t="s">
        <v>223</v>
      </c>
      <c r="B54" s="102">
        <v>870</v>
      </c>
      <c r="C54" s="103">
        <v>824530</v>
      </c>
      <c r="D54" s="410" t="s">
        <v>1986</v>
      </c>
      <c r="E54" s="195">
        <v>517</v>
      </c>
      <c r="F54" s="197">
        <v>517</v>
      </c>
      <c r="G54" s="543"/>
      <c r="H54" s="543"/>
    </row>
    <row r="55" spans="1:8" s="100" customFormat="1" ht="21" customHeight="1">
      <c r="A55" s="215" t="s">
        <v>228</v>
      </c>
      <c r="B55" s="102">
        <v>870</v>
      </c>
      <c r="C55" s="103">
        <v>824570</v>
      </c>
      <c r="D55" s="410" t="s">
        <v>2066</v>
      </c>
      <c r="E55" s="195">
        <v>650</v>
      </c>
      <c r="F55" s="197">
        <v>650</v>
      </c>
      <c r="G55" s="543"/>
      <c r="H55" s="543"/>
    </row>
    <row r="56" spans="1:8" s="100" customFormat="1" ht="21" customHeight="1">
      <c r="A56" s="215" t="s">
        <v>229</v>
      </c>
      <c r="B56" s="102">
        <v>870</v>
      </c>
      <c r="C56" s="103">
        <v>825100</v>
      </c>
      <c r="D56" s="410" t="s">
        <v>2239</v>
      </c>
      <c r="E56" s="195">
        <v>696</v>
      </c>
      <c r="F56" s="197">
        <v>606</v>
      </c>
      <c r="G56" s="543"/>
      <c r="H56" s="543"/>
    </row>
    <row r="57" spans="1:8" s="100" customFormat="1" ht="21" customHeight="1">
      <c r="A57" s="215" t="s">
        <v>229</v>
      </c>
      <c r="B57" s="102">
        <v>871</v>
      </c>
      <c r="C57" s="103">
        <v>825100</v>
      </c>
      <c r="D57" s="410" t="s">
        <v>1840</v>
      </c>
      <c r="E57" s="195">
        <v>431</v>
      </c>
      <c r="F57" s="197">
        <v>431</v>
      </c>
      <c r="G57" s="543"/>
      <c r="H57" s="543"/>
    </row>
    <row r="58" spans="1:8" s="100" customFormat="1" ht="21" customHeight="1">
      <c r="A58" s="215" t="s">
        <v>229</v>
      </c>
      <c r="B58" s="102">
        <v>872</v>
      </c>
      <c r="C58" s="103">
        <v>825100</v>
      </c>
      <c r="D58" s="410" t="s">
        <v>2240</v>
      </c>
      <c r="E58" s="195">
        <v>0</v>
      </c>
      <c r="F58" s="197">
        <v>90</v>
      </c>
      <c r="G58" s="543"/>
      <c r="H58" s="543"/>
    </row>
    <row r="59" spans="1:8" s="100" customFormat="1" ht="21" customHeight="1">
      <c r="A59" s="215" t="s">
        <v>230</v>
      </c>
      <c r="B59" s="102">
        <v>870</v>
      </c>
      <c r="C59" s="103">
        <v>825400</v>
      </c>
      <c r="D59" s="410" t="s">
        <v>1989</v>
      </c>
      <c r="E59" s="195">
        <v>28</v>
      </c>
      <c r="F59" s="197">
        <v>28</v>
      </c>
      <c r="G59" s="543"/>
      <c r="H59" s="543"/>
    </row>
    <row r="60" spans="1:8" s="100" customFormat="1" ht="21" customHeight="1">
      <c r="A60" s="215" t="s">
        <v>1044</v>
      </c>
      <c r="B60" s="102">
        <v>870</v>
      </c>
      <c r="C60" s="103">
        <v>826400</v>
      </c>
      <c r="D60" s="410" t="s">
        <v>1262</v>
      </c>
      <c r="E60" s="195">
        <v>1873</v>
      </c>
      <c r="F60" s="197">
        <v>1873</v>
      </c>
      <c r="G60" s="543"/>
      <c r="H60" s="543"/>
    </row>
    <row r="61" spans="1:8" s="100" customFormat="1" ht="21" customHeight="1">
      <c r="A61" s="215" t="s">
        <v>1044</v>
      </c>
      <c r="B61" s="102">
        <v>871</v>
      </c>
      <c r="C61" s="103">
        <v>826400</v>
      </c>
      <c r="D61" s="410" t="s">
        <v>1685</v>
      </c>
      <c r="E61" s="195">
        <v>471</v>
      </c>
      <c r="F61" s="197">
        <v>471</v>
      </c>
      <c r="G61" s="543"/>
      <c r="H61" s="543"/>
    </row>
    <row r="62" spans="1:8" s="100" customFormat="1" ht="21" customHeight="1">
      <c r="A62" s="215" t="s">
        <v>1044</v>
      </c>
      <c r="B62" s="102">
        <v>872</v>
      </c>
      <c r="C62" s="103">
        <v>826400</v>
      </c>
      <c r="D62" s="410" t="s">
        <v>1284</v>
      </c>
      <c r="E62" s="195">
        <v>1364</v>
      </c>
      <c r="F62" s="197">
        <v>1364</v>
      </c>
      <c r="G62" s="543"/>
      <c r="H62" s="543"/>
    </row>
    <row r="63" spans="1:8" s="100" customFormat="1" ht="21" customHeight="1">
      <c r="A63" s="215" t="s">
        <v>1044</v>
      </c>
      <c r="B63" s="102">
        <v>873</v>
      </c>
      <c r="C63" s="103">
        <v>826400</v>
      </c>
      <c r="D63" s="410" t="s">
        <v>1287</v>
      </c>
      <c r="E63" s="195">
        <v>175</v>
      </c>
      <c r="F63" s="197">
        <v>175</v>
      </c>
      <c r="G63" s="543"/>
      <c r="H63" s="543"/>
    </row>
    <row r="64" spans="1:8" s="100" customFormat="1" ht="21" customHeight="1">
      <c r="A64" s="215" t="s">
        <v>1044</v>
      </c>
      <c r="B64" s="102">
        <v>874</v>
      </c>
      <c r="C64" s="103">
        <v>826400</v>
      </c>
      <c r="D64" s="410" t="s">
        <v>1605</v>
      </c>
      <c r="E64" s="195">
        <v>1383</v>
      </c>
      <c r="F64" s="197">
        <v>1383</v>
      </c>
      <c r="G64" s="543"/>
      <c r="H64" s="543"/>
    </row>
    <row r="65" spans="1:8" s="100" customFormat="1" ht="21" customHeight="1">
      <c r="A65" s="215" t="s">
        <v>1044</v>
      </c>
      <c r="B65" s="102">
        <v>875</v>
      </c>
      <c r="C65" s="103">
        <v>826400</v>
      </c>
      <c r="D65" s="410" t="s">
        <v>2075</v>
      </c>
      <c r="E65" s="195">
        <v>484</v>
      </c>
      <c r="F65" s="197">
        <v>484</v>
      </c>
      <c r="G65" s="543"/>
      <c r="H65" s="543"/>
    </row>
    <row r="66" spans="1:8" s="100" customFormat="1" ht="21" customHeight="1">
      <c r="A66" s="215" t="s">
        <v>1044</v>
      </c>
      <c r="B66" s="102">
        <v>876</v>
      </c>
      <c r="C66" s="103">
        <v>826400</v>
      </c>
      <c r="D66" s="410" t="s">
        <v>2389</v>
      </c>
      <c r="E66" s="195">
        <v>1668</v>
      </c>
      <c r="F66" s="197">
        <v>1668</v>
      </c>
      <c r="G66" s="543"/>
      <c r="H66" s="543"/>
    </row>
    <row r="67" spans="1:8" s="100" customFormat="1" ht="21" customHeight="1">
      <c r="A67" s="215" t="s">
        <v>1044</v>
      </c>
      <c r="B67" s="102">
        <v>877</v>
      </c>
      <c r="C67" s="103">
        <v>826400</v>
      </c>
      <c r="D67" s="410" t="s">
        <v>1686</v>
      </c>
      <c r="E67" s="195">
        <v>569</v>
      </c>
      <c r="F67" s="197">
        <v>569</v>
      </c>
      <c r="G67" s="543"/>
      <c r="H67" s="543"/>
    </row>
    <row r="68" spans="1:8" s="100" customFormat="1" ht="21" customHeight="1">
      <c r="A68" s="215" t="s">
        <v>1044</v>
      </c>
      <c r="B68" s="102">
        <v>878</v>
      </c>
      <c r="C68" s="103">
        <v>826400</v>
      </c>
      <c r="D68" s="410" t="s">
        <v>1588</v>
      </c>
      <c r="E68" s="195">
        <v>761</v>
      </c>
      <c r="F68" s="197">
        <v>761</v>
      </c>
      <c r="G68" s="543"/>
      <c r="H68" s="543"/>
    </row>
    <row r="69" spans="1:8" s="100" customFormat="1" ht="21" customHeight="1">
      <c r="A69" s="215" t="s">
        <v>1044</v>
      </c>
      <c r="B69" s="102">
        <v>879</v>
      </c>
      <c r="C69" s="103">
        <v>826400</v>
      </c>
      <c r="D69" s="410" t="s">
        <v>1384</v>
      </c>
      <c r="E69" s="195">
        <v>2217</v>
      </c>
      <c r="F69" s="197">
        <v>2217</v>
      </c>
      <c r="G69" s="543"/>
      <c r="H69" s="543"/>
    </row>
    <row r="70" spans="1:8" s="100" customFormat="1" ht="21" customHeight="1">
      <c r="A70" s="215" t="s">
        <v>1044</v>
      </c>
      <c r="B70" s="102">
        <v>870</v>
      </c>
      <c r="C70" s="103">
        <v>826401</v>
      </c>
      <c r="D70" s="410" t="s">
        <v>1949</v>
      </c>
      <c r="E70" s="195">
        <v>1495</v>
      </c>
      <c r="F70" s="197">
        <v>1400</v>
      </c>
      <c r="G70" s="543"/>
      <c r="H70" s="543"/>
    </row>
    <row r="71" spans="1:8" s="100" customFormat="1" ht="21" customHeight="1">
      <c r="A71" s="215" t="s">
        <v>1044</v>
      </c>
      <c r="B71" s="102">
        <v>871</v>
      </c>
      <c r="C71" s="103">
        <v>826401</v>
      </c>
      <c r="D71" s="410" t="s">
        <v>2150</v>
      </c>
      <c r="E71" s="195">
        <v>0</v>
      </c>
      <c r="F71" s="197">
        <v>300</v>
      </c>
      <c r="G71" s="543"/>
      <c r="H71" s="543"/>
    </row>
    <row r="72" spans="1:8" s="100" customFormat="1" ht="21" customHeight="1">
      <c r="A72" s="215" t="s">
        <v>983</v>
      </c>
      <c r="B72" s="102">
        <v>871</v>
      </c>
      <c r="C72" s="103">
        <v>828100</v>
      </c>
      <c r="D72" s="410" t="s">
        <v>1990</v>
      </c>
      <c r="E72" s="195">
        <v>180</v>
      </c>
      <c r="F72" s="197">
        <v>180</v>
      </c>
      <c r="G72" s="543"/>
      <c r="H72" s="543"/>
    </row>
    <row r="73" spans="1:8" s="100" customFormat="1" ht="21" customHeight="1">
      <c r="A73" s="215" t="s">
        <v>171</v>
      </c>
      <c r="B73" s="102">
        <v>870</v>
      </c>
      <c r="C73" s="103">
        <v>828200</v>
      </c>
      <c r="D73" s="410" t="s">
        <v>1812</v>
      </c>
      <c r="E73" s="195">
        <v>1451</v>
      </c>
      <c r="F73" s="197">
        <v>1511</v>
      </c>
      <c r="G73" s="543"/>
      <c r="H73" s="543"/>
    </row>
    <row r="74" spans="1:8" s="100" customFormat="1" ht="21" customHeight="1">
      <c r="A74" s="215" t="s">
        <v>789</v>
      </c>
      <c r="B74" s="102">
        <v>820</v>
      </c>
      <c r="C74" s="103">
        <v>828900</v>
      </c>
      <c r="D74" s="410" t="s">
        <v>37</v>
      </c>
      <c r="E74" s="195">
        <v>1800</v>
      </c>
      <c r="F74" s="197">
        <v>1800</v>
      </c>
      <c r="G74" s="543"/>
      <c r="H74" s="543"/>
    </row>
    <row r="75" spans="1:8" s="100" customFormat="1" ht="21" customHeight="1">
      <c r="A75" s="215" t="s">
        <v>1133</v>
      </c>
      <c r="B75" s="102">
        <v>820</v>
      </c>
      <c r="C75" s="103">
        <v>829100</v>
      </c>
      <c r="D75" s="410" t="s">
        <v>2107</v>
      </c>
      <c r="E75" s="195">
        <v>187</v>
      </c>
      <c r="F75" s="197">
        <v>187</v>
      </c>
      <c r="G75" s="543"/>
      <c r="H75" s="543"/>
    </row>
    <row r="76" spans="1:8" s="100" customFormat="1" ht="21" customHeight="1">
      <c r="A76" s="215" t="s">
        <v>790</v>
      </c>
      <c r="B76" s="102">
        <v>870</v>
      </c>
      <c r="C76" s="103">
        <v>829220</v>
      </c>
      <c r="D76" s="410" t="s">
        <v>1991</v>
      </c>
      <c r="E76" s="195">
        <v>125</v>
      </c>
      <c r="F76" s="197">
        <v>125</v>
      </c>
      <c r="G76" s="543"/>
      <c r="H76" s="543"/>
    </row>
    <row r="77" spans="1:8" s="100" customFormat="1" ht="21" customHeight="1">
      <c r="A77" s="215" t="s">
        <v>791</v>
      </c>
      <c r="B77" s="102">
        <v>870</v>
      </c>
      <c r="C77" s="103">
        <v>829250</v>
      </c>
      <c r="D77" s="410" t="s">
        <v>1991</v>
      </c>
      <c r="E77" s="195">
        <v>133</v>
      </c>
      <c r="F77" s="197">
        <v>133</v>
      </c>
      <c r="G77" s="543"/>
      <c r="H77" s="543"/>
    </row>
    <row r="78" spans="1:8" s="100" customFormat="1" ht="21" customHeight="1">
      <c r="A78" s="215" t="s">
        <v>1667</v>
      </c>
      <c r="B78" s="102">
        <v>870</v>
      </c>
      <c r="C78" s="103">
        <v>829520</v>
      </c>
      <c r="D78" s="410" t="s">
        <v>1791</v>
      </c>
      <c r="E78" s="195">
        <v>300</v>
      </c>
      <c r="F78" s="197">
        <v>300</v>
      </c>
      <c r="G78" s="543"/>
      <c r="H78" s="543"/>
    </row>
    <row r="79" spans="1:8" s="100" customFormat="1" ht="28">
      <c r="A79" s="215" t="s">
        <v>812</v>
      </c>
      <c r="B79" s="102">
        <v>825</v>
      </c>
      <c r="C79" s="103">
        <v>829900</v>
      </c>
      <c r="D79" s="410" t="s">
        <v>2390</v>
      </c>
      <c r="E79" s="195">
        <v>4105</v>
      </c>
      <c r="F79" s="197">
        <v>5239</v>
      </c>
      <c r="G79" s="543"/>
      <c r="H79" s="543"/>
    </row>
    <row r="80" spans="1:8" s="100" customFormat="1" ht="21" customHeight="1">
      <c r="A80" s="215" t="s">
        <v>812</v>
      </c>
      <c r="B80" s="102">
        <v>826</v>
      </c>
      <c r="C80" s="103">
        <v>829900</v>
      </c>
      <c r="D80" s="410" t="s">
        <v>1718</v>
      </c>
      <c r="E80" s="195">
        <v>600</v>
      </c>
      <c r="F80" s="197">
        <v>746</v>
      </c>
      <c r="G80" s="543"/>
      <c r="H80" s="543"/>
    </row>
    <row r="81" spans="1:8" s="100" customFormat="1" ht="21" customHeight="1">
      <c r="A81" s="215" t="s">
        <v>2183</v>
      </c>
      <c r="B81" s="102">
        <v>870</v>
      </c>
      <c r="C81" s="103">
        <v>829910</v>
      </c>
      <c r="D81" s="410" t="s">
        <v>1400</v>
      </c>
      <c r="E81" s="195">
        <v>4830</v>
      </c>
      <c r="F81" s="197">
        <v>3830</v>
      </c>
      <c r="G81" s="543"/>
      <c r="H81" s="543"/>
    </row>
    <row r="82" spans="1:8" s="100" customFormat="1" ht="21" customHeight="1">
      <c r="A82" s="215" t="s">
        <v>2183</v>
      </c>
      <c r="B82" s="102">
        <v>872</v>
      </c>
      <c r="C82" s="103">
        <v>829910</v>
      </c>
      <c r="D82" s="410" t="s">
        <v>1223</v>
      </c>
      <c r="E82" s="195">
        <v>120</v>
      </c>
      <c r="F82" s="197">
        <v>120</v>
      </c>
      <c r="G82" s="543"/>
      <c r="H82" s="543"/>
    </row>
    <row r="83" spans="1:8" s="100" customFormat="1" ht="21" customHeight="1">
      <c r="A83" s="215" t="s">
        <v>2183</v>
      </c>
      <c r="B83" s="102">
        <v>873</v>
      </c>
      <c r="C83" s="103">
        <v>829910</v>
      </c>
      <c r="D83" s="410" t="s">
        <v>2182</v>
      </c>
      <c r="E83" s="195">
        <v>1100</v>
      </c>
      <c r="F83" s="197">
        <v>0</v>
      </c>
      <c r="G83" s="543"/>
      <c r="H83" s="543"/>
    </row>
    <row r="84" spans="1:8" s="100" customFormat="1" ht="21" customHeight="1">
      <c r="A84" s="215" t="s">
        <v>2183</v>
      </c>
      <c r="B84" s="102">
        <v>874</v>
      </c>
      <c r="C84" s="103">
        <v>829910</v>
      </c>
      <c r="D84" s="410" t="s">
        <v>1887</v>
      </c>
      <c r="E84" s="195">
        <v>2700</v>
      </c>
      <c r="F84" s="197">
        <v>2700</v>
      </c>
      <c r="G84" s="543"/>
      <c r="H84" s="543"/>
    </row>
    <row r="85" spans="1:8" s="100" customFormat="1" ht="21" customHeight="1">
      <c r="A85" s="215" t="s">
        <v>2183</v>
      </c>
      <c r="B85" s="102">
        <v>875</v>
      </c>
      <c r="C85" s="103">
        <v>829910</v>
      </c>
      <c r="D85" s="104" t="s">
        <v>1300</v>
      </c>
      <c r="E85" s="195">
        <v>90</v>
      </c>
      <c r="F85" s="197">
        <v>90</v>
      </c>
      <c r="G85" s="543"/>
      <c r="H85" s="543"/>
    </row>
    <row r="86" spans="1:8" s="100" customFormat="1" ht="28">
      <c r="A86" s="215" t="s">
        <v>2183</v>
      </c>
      <c r="B86" s="102">
        <v>876</v>
      </c>
      <c r="C86" s="103">
        <v>829910</v>
      </c>
      <c r="D86" s="104" t="s">
        <v>2211</v>
      </c>
      <c r="E86" s="195">
        <v>75</v>
      </c>
      <c r="F86" s="197">
        <v>0</v>
      </c>
      <c r="G86" s="543"/>
      <c r="H86" s="543"/>
    </row>
    <row r="87" spans="1:8" s="100" customFormat="1" ht="21" customHeight="1">
      <c r="A87" s="215" t="s">
        <v>696</v>
      </c>
      <c r="B87" s="102">
        <v>820</v>
      </c>
      <c r="C87" s="103">
        <v>831000</v>
      </c>
      <c r="D87" s="104" t="s">
        <v>1888</v>
      </c>
      <c r="E87" s="195">
        <v>196</v>
      </c>
      <c r="F87" s="197">
        <v>196</v>
      </c>
      <c r="G87" s="543"/>
      <c r="H87" s="543"/>
    </row>
    <row r="88" spans="1:8" s="100" customFormat="1" ht="21" customHeight="1">
      <c r="A88" s="215" t="s">
        <v>973</v>
      </c>
      <c r="B88" s="102">
        <v>830</v>
      </c>
      <c r="C88" s="103">
        <v>836200</v>
      </c>
      <c r="D88" s="104" t="s">
        <v>539</v>
      </c>
      <c r="E88" s="195">
        <v>190</v>
      </c>
      <c r="F88" s="197">
        <v>190</v>
      </c>
      <c r="G88" s="543"/>
      <c r="H88" s="543"/>
    </row>
    <row r="89" spans="1:8" s="100" customFormat="1" ht="21" customHeight="1">
      <c r="A89" s="215" t="s">
        <v>1093</v>
      </c>
      <c r="B89" s="102">
        <v>820</v>
      </c>
      <c r="C89" s="103">
        <v>841004</v>
      </c>
      <c r="D89" s="104" t="s">
        <v>1889</v>
      </c>
      <c r="E89" s="195">
        <v>179</v>
      </c>
      <c r="F89" s="197">
        <v>179</v>
      </c>
      <c r="G89" s="543"/>
      <c r="H89" s="543"/>
    </row>
    <row r="90" spans="1:8" s="100" customFormat="1" ht="22.5" customHeight="1">
      <c r="A90" s="215" t="s">
        <v>413</v>
      </c>
      <c r="B90" s="102">
        <v>810</v>
      </c>
      <c r="C90" s="103">
        <v>843901</v>
      </c>
      <c r="D90" s="104" t="s">
        <v>1458</v>
      </c>
      <c r="E90" s="195">
        <v>150</v>
      </c>
      <c r="F90" s="197">
        <v>150</v>
      </c>
      <c r="G90" s="543"/>
      <c r="H90" s="543"/>
    </row>
    <row r="91" spans="1:8" s="100" customFormat="1" ht="21" customHeight="1">
      <c r="A91" s="215" t="s">
        <v>1106</v>
      </c>
      <c r="B91" s="102">
        <v>820</v>
      </c>
      <c r="C91" s="103">
        <v>844402</v>
      </c>
      <c r="D91" s="410" t="s">
        <v>879</v>
      </c>
      <c r="E91" s="195">
        <v>107</v>
      </c>
      <c r="F91" s="197">
        <v>107</v>
      </c>
      <c r="G91" s="543"/>
      <c r="H91" s="543"/>
    </row>
    <row r="92" spans="1:8" s="100" customFormat="1" ht="21" customHeight="1">
      <c r="A92" s="215" t="s">
        <v>1106</v>
      </c>
      <c r="B92" s="102">
        <v>870</v>
      </c>
      <c r="C92" s="103">
        <v>844402</v>
      </c>
      <c r="D92" s="104" t="s">
        <v>1396</v>
      </c>
      <c r="E92" s="195">
        <v>581</v>
      </c>
      <c r="F92" s="197">
        <v>581</v>
      </c>
      <c r="G92" s="543"/>
      <c r="H92" s="543"/>
    </row>
    <row r="93" spans="1:8" s="100" customFormat="1" ht="21" customHeight="1">
      <c r="A93" s="215" t="s">
        <v>1106</v>
      </c>
      <c r="B93" s="102">
        <v>871</v>
      </c>
      <c r="C93" s="103">
        <v>844402</v>
      </c>
      <c r="D93" s="104" t="s">
        <v>1992</v>
      </c>
      <c r="E93" s="195">
        <v>80</v>
      </c>
      <c r="F93" s="197">
        <v>80</v>
      </c>
      <c r="G93" s="543"/>
      <c r="H93" s="543"/>
    </row>
    <row r="94" spans="1:8" s="100" customFormat="1" ht="21" customHeight="1">
      <c r="A94" s="215" t="s">
        <v>104</v>
      </c>
      <c r="B94" s="102">
        <v>871</v>
      </c>
      <c r="C94" s="103">
        <v>848290</v>
      </c>
      <c r="D94" s="104" t="s">
        <v>1250</v>
      </c>
      <c r="E94" s="195">
        <v>738</v>
      </c>
      <c r="F94" s="197">
        <v>833</v>
      </c>
      <c r="G94" s="543"/>
      <c r="H94" s="543"/>
    </row>
    <row r="95" spans="1:8" s="100" customFormat="1" ht="21" customHeight="1">
      <c r="A95" s="215" t="s">
        <v>104</v>
      </c>
      <c r="B95" s="102">
        <v>872</v>
      </c>
      <c r="C95" s="103">
        <v>848290</v>
      </c>
      <c r="D95" s="104" t="s">
        <v>1349</v>
      </c>
      <c r="E95" s="195">
        <v>273</v>
      </c>
      <c r="F95" s="197">
        <v>273</v>
      </c>
      <c r="G95" s="543"/>
      <c r="H95" s="543"/>
    </row>
    <row r="96" spans="1:8" s="100" customFormat="1" ht="21" customHeight="1">
      <c r="A96" s="215" t="s">
        <v>824</v>
      </c>
      <c r="B96" s="102">
        <v>810</v>
      </c>
      <c r="C96" s="103">
        <v>851000</v>
      </c>
      <c r="D96" s="104" t="s">
        <v>936</v>
      </c>
      <c r="E96" s="195">
        <v>5367</v>
      </c>
      <c r="F96" s="197">
        <v>5367</v>
      </c>
      <c r="G96" s="543"/>
      <c r="H96" s="543"/>
    </row>
    <row r="97" spans="1:8" s="100" customFormat="1" ht="21" customHeight="1">
      <c r="A97" s="215" t="s">
        <v>937</v>
      </c>
      <c r="B97" s="102">
        <v>820</v>
      </c>
      <c r="C97" s="103">
        <v>856000</v>
      </c>
      <c r="D97" s="104" t="s">
        <v>216</v>
      </c>
      <c r="E97" s="195">
        <v>1148</v>
      </c>
      <c r="F97" s="197">
        <v>1148</v>
      </c>
      <c r="G97" s="543"/>
      <c r="H97" s="543"/>
    </row>
    <row r="98" spans="1:8" s="100" customFormat="1" ht="21" customHeight="1">
      <c r="A98" s="215" t="s">
        <v>937</v>
      </c>
      <c r="B98" s="102">
        <v>821</v>
      </c>
      <c r="C98" s="103">
        <v>856000</v>
      </c>
      <c r="D98" s="104" t="s">
        <v>1822</v>
      </c>
      <c r="E98" s="195">
        <v>60</v>
      </c>
      <c r="F98" s="197">
        <v>60</v>
      </c>
      <c r="G98" s="543"/>
      <c r="H98" s="543"/>
    </row>
    <row r="99" spans="1:8" s="100" customFormat="1" ht="21" customHeight="1" thickBot="1">
      <c r="A99" s="458" t="s">
        <v>1059</v>
      </c>
      <c r="B99" s="459">
        <v>820</v>
      </c>
      <c r="C99" s="460">
        <v>879000</v>
      </c>
      <c r="D99" s="461" t="s">
        <v>1436</v>
      </c>
      <c r="E99" s="462">
        <v>68</v>
      </c>
      <c r="F99" s="463">
        <v>68</v>
      </c>
      <c r="G99" s="543"/>
      <c r="H99" s="543"/>
    </row>
    <row r="100" spans="1:8" ht="19.5" customHeight="1" thickBot="1">
      <c r="A100" s="96" t="s">
        <v>868</v>
      </c>
      <c r="B100" s="192" t="s">
        <v>1251</v>
      </c>
      <c r="C100" s="193"/>
      <c r="D100" s="122" t="s">
        <v>595</v>
      </c>
      <c r="E100" s="198">
        <f>SUM(E8:E99)</f>
        <v>66638</v>
      </c>
      <c r="F100" s="199">
        <f>SUM(F8:F99)</f>
        <v>66272</v>
      </c>
    </row>
    <row r="101" spans="1:8" ht="13.5" customHeight="1">
      <c r="A101" s="37" t="s">
        <v>596</v>
      </c>
      <c r="B101" s="192" t="s">
        <v>1252</v>
      </c>
    </row>
    <row r="102" spans="1:8" ht="13.5" customHeight="1">
      <c r="A102" s="37" t="s">
        <v>84</v>
      </c>
      <c r="B102" s="192" t="s">
        <v>1253</v>
      </c>
    </row>
    <row r="103" spans="1:8" ht="24.75" customHeight="1">
      <c r="A103" s="546" t="s">
        <v>2010</v>
      </c>
      <c r="B103" s="192" t="s">
        <v>1254</v>
      </c>
    </row>
    <row r="104" spans="1:8" ht="21" customHeight="1"/>
    <row r="105" spans="1:8" ht="21" customHeight="1"/>
    <row r="106" spans="1:8" ht="21" customHeight="1"/>
    <row r="107" spans="1:8" ht="21" customHeight="1"/>
  </sheetData>
  <mergeCells count="4">
    <mergeCell ref="A4:F4"/>
    <mergeCell ref="A6:A7"/>
    <mergeCell ref="B6:B7"/>
    <mergeCell ref="C6:C7"/>
  </mergeCells>
  <phoneticPr fontId="12"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2"/>
  <sheetViews>
    <sheetView showGridLines="0" rightToLeft="1" view="pageBreakPreview" topLeftCell="A22" zoomScale="90" zoomScaleNormal="100" zoomScaleSheetLayoutView="90" workbookViewId="0">
      <selection activeCell="H32" sqref="H32"/>
    </sheetView>
  </sheetViews>
  <sheetFormatPr defaultColWidth="9" defaultRowHeight="27.65" customHeight="1"/>
  <cols>
    <col min="1" max="2" width="9" style="1"/>
    <col min="3" max="3" width="40.58203125" style="1" customWidth="1"/>
    <col min="4" max="4" width="9.58203125" style="113" customWidth="1"/>
    <col min="5" max="5" width="3.58203125" style="113" customWidth="1"/>
    <col min="6" max="6" width="9" style="1" customWidth="1"/>
    <col min="7" max="9" width="9" style="1"/>
    <col min="10" max="10" width="9.08203125" style="1" bestFit="1" customWidth="1"/>
    <col min="11" max="11" width="15.08203125" style="1" bestFit="1" customWidth="1"/>
    <col min="12" max="12" width="6.83203125" style="1" customWidth="1"/>
    <col min="13" max="13" width="4" style="1" bestFit="1" customWidth="1"/>
    <col min="14" max="16384" width="9" style="1"/>
  </cols>
  <sheetData>
    <row r="1" spans="2:13" ht="22.5" customHeight="1">
      <c r="B1" s="1142" t="s">
        <v>713</v>
      </c>
      <c r="C1" s="1142"/>
      <c r="D1" s="1142"/>
      <c r="E1" s="467"/>
    </row>
    <row r="2" spans="2:13" ht="22.5" customHeight="1" thickBot="1">
      <c r="C2" s="2"/>
    </row>
    <row r="3" spans="2:13" ht="22.5" customHeight="1">
      <c r="B3" s="124" t="s">
        <v>1676</v>
      </c>
      <c r="C3" s="110" t="str">
        <f>פרקים!C2</f>
        <v>ה צ ע ת  התקציב הרגיל לשנת: 2021</v>
      </c>
      <c r="D3" s="114" t="s">
        <v>780</v>
      </c>
      <c r="E3" s="472"/>
      <c r="F3" s="469"/>
    </row>
    <row r="4" spans="2:13" ht="22.5" customHeight="1" thickBot="1">
      <c r="B4" s="125"/>
      <c r="C4" s="111" t="s">
        <v>1763</v>
      </c>
      <c r="D4" s="115" t="s">
        <v>2081</v>
      </c>
      <c r="E4" s="473"/>
      <c r="F4" s="469"/>
    </row>
    <row r="5" spans="2:13" ht="22.5" customHeight="1">
      <c r="B5" s="126" t="s">
        <v>1068</v>
      </c>
      <c r="C5" s="112" t="s">
        <v>390</v>
      </c>
      <c r="D5" s="116">
        <f>'תשלומים מפורט'!J367</f>
        <v>3374</v>
      </c>
      <c r="E5" s="201"/>
      <c r="F5" s="346"/>
    </row>
    <row r="6" spans="2:13" ht="22.5" customHeight="1">
      <c r="B6" s="126" t="s">
        <v>391</v>
      </c>
      <c r="C6" s="112" t="s">
        <v>969</v>
      </c>
      <c r="D6" s="116">
        <f>'תשלומים מפורט'!J378</f>
        <v>8868</v>
      </c>
      <c r="E6" s="201"/>
      <c r="F6" s="346"/>
    </row>
    <row r="7" spans="2:13" ht="22.5" customHeight="1">
      <c r="B7" s="200" t="s">
        <v>1358</v>
      </c>
      <c r="C7" s="112" t="s">
        <v>1360</v>
      </c>
      <c r="D7" s="116">
        <f>'תשלומים מפורט'!J383</f>
        <v>1760</v>
      </c>
      <c r="E7" s="201"/>
      <c r="F7" s="346"/>
    </row>
    <row r="8" spans="2:13" ht="22.5" customHeight="1">
      <c r="B8" s="126" t="s">
        <v>393</v>
      </c>
      <c r="C8" s="112" t="s">
        <v>395</v>
      </c>
      <c r="D8" s="116">
        <f>'תשלומים מפורט'!J386</f>
        <v>5150</v>
      </c>
      <c r="E8" s="201"/>
      <c r="F8" s="346"/>
    </row>
    <row r="9" spans="2:13" ht="22.5" customHeight="1">
      <c r="B9" s="126" t="s">
        <v>396</v>
      </c>
      <c r="C9" s="112" t="s">
        <v>398</v>
      </c>
      <c r="D9" s="116">
        <f>'תשלומים מפורט'!J392</f>
        <v>2452</v>
      </c>
      <c r="E9" s="201"/>
      <c r="F9" s="346"/>
    </row>
    <row r="10" spans="2:13" ht="22.5" customHeight="1">
      <c r="B10" s="126" t="s">
        <v>1205</v>
      </c>
      <c r="C10" s="112" t="s">
        <v>1207</v>
      </c>
      <c r="D10" s="116">
        <f>'תשלומים מפורט'!J395</f>
        <v>755</v>
      </c>
      <c r="E10" s="201"/>
      <c r="F10" s="346"/>
    </row>
    <row r="11" spans="2:13" ht="22.5" customHeight="1">
      <c r="B11" s="200" t="s">
        <v>218</v>
      </c>
      <c r="C11" s="112" t="s">
        <v>2076</v>
      </c>
      <c r="D11" s="116">
        <f>'תשלומים מפורט'!J399</f>
        <v>1330</v>
      </c>
      <c r="E11" s="201"/>
      <c r="F11" s="346"/>
    </row>
    <row r="12" spans="2:13" ht="22.5" customHeight="1">
      <c r="B12" s="200" t="s">
        <v>145</v>
      </c>
      <c r="C12" s="112" t="s">
        <v>2077</v>
      </c>
      <c r="D12" s="116">
        <f>'תשלומים מפורט'!J414</f>
        <v>695</v>
      </c>
      <c r="E12" s="201"/>
      <c r="F12" s="346"/>
    </row>
    <row r="13" spans="2:13" ht="22.5" customHeight="1" thickBot="1">
      <c r="B13" s="126"/>
      <c r="C13" s="112" t="s">
        <v>1675</v>
      </c>
      <c r="D13" s="116">
        <f>SUM(D5:D12)*15%</f>
        <v>3657.6</v>
      </c>
      <c r="E13" s="201"/>
      <c r="F13" s="470"/>
      <c r="J13" s="342"/>
      <c r="K13" s="347"/>
      <c r="L13" s="348"/>
      <c r="M13" s="1149"/>
    </row>
    <row r="14" spans="2:13" ht="22.5" customHeight="1" thickBot="1">
      <c r="B14" s="127"/>
      <c r="C14" s="109" t="s">
        <v>50</v>
      </c>
      <c r="D14" s="117">
        <f>SUM(D5:D13)</f>
        <v>28041.599999999999</v>
      </c>
      <c r="E14" s="201"/>
      <c r="F14" s="471"/>
      <c r="K14" s="347"/>
      <c r="L14" s="348"/>
      <c r="M14" s="1149"/>
    </row>
    <row r="15" spans="2:13" ht="22.5" customHeight="1" thickBot="1">
      <c r="K15" s="347"/>
      <c r="L15" s="348"/>
      <c r="M15" s="1149"/>
    </row>
    <row r="16" spans="2:13" ht="22.5" customHeight="1">
      <c r="B16" s="124" t="s">
        <v>1676</v>
      </c>
      <c r="C16" s="110" t="str">
        <f>C3</f>
        <v>ה צ ע ת  התקציב הרגיל לשנת: 2021</v>
      </c>
      <c r="D16" s="114" t="s">
        <v>780</v>
      </c>
      <c r="E16" s="472"/>
      <c r="F16" s="469"/>
      <c r="K16" s="37"/>
      <c r="L16" s="348"/>
      <c r="M16" s="349"/>
    </row>
    <row r="17" spans="1:12" ht="22.5" customHeight="1" thickBot="1">
      <c r="B17" s="125"/>
      <c r="C17" s="111" t="s">
        <v>1750</v>
      </c>
      <c r="D17" s="115" t="s">
        <v>2081</v>
      </c>
      <c r="E17" s="473"/>
      <c r="F17" s="469"/>
      <c r="L17" s="348"/>
    </row>
    <row r="18" spans="1:12" ht="22.5" customHeight="1">
      <c r="A18" s="132"/>
      <c r="B18" s="126" t="s">
        <v>1002</v>
      </c>
      <c r="C18" s="101" t="str">
        <f>'תקבולים מפורט'!F42</f>
        <v>קנסות בגין הסדר מותנה - פיקוח על הבניה</v>
      </c>
      <c r="D18" s="116">
        <f>'תקבולים מפורט'!G42</f>
        <v>15</v>
      </c>
      <c r="E18" s="201"/>
      <c r="F18" s="346"/>
    </row>
    <row r="19" spans="1:12" ht="22.5" customHeight="1">
      <c r="A19" s="131"/>
      <c r="B19" s="126" t="s">
        <v>1002</v>
      </c>
      <c r="C19" s="112" t="str">
        <f>'תקבולים מפורט'!F43</f>
        <v>קנסות מנהליים - פיקוח על הבניה</v>
      </c>
      <c r="D19" s="116">
        <f>'תקבולים מפורט'!G43</f>
        <v>1000</v>
      </c>
      <c r="E19" s="201"/>
      <c r="F19" s="346"/>
    </row>
    <row r="20" spans="1:12" ht="22.5" customHeight="1">
      <c r="A20" s="132"/>
      <c r="B20" s="126" t="s">
        <v>1002</v>
      </c>
      <c r="C20" s="101" t="s">
        <v>747</v>
      </c>
      <c r="D20" s="116">
        <f>'תקבולים מפורט'!G44</f>
        <v>450</v>
      </c>
      <c r="E20" s="201"/>
      <c r="F20" s="346"/>
    </row>
    <row r="21" spans="1:12" ht="22.5" customHeight="1">
      <c r="A21" s="131"/>
      <c r="B21" s="126" t="s">
        <v>1002</v>
      </c>
      <c r="C21" s="112" t="s">
        <v>710</v>
      </c>
      <c r="D21" s="116">
        <f>'תקבולים מפורט'!G46</f>
        <v>3500</v>
      </c>
      <c r="E21" s="201"/>
      <c r="F21" s="346"/>
    </row>
    <row r="22" spans="1:12" ht="22.5" customHeight="1">
      <c r="A22" s="131"/>
      <c r="B22" s="126">
        <v>23</v>
      </c>
      <c r="C22" s="112" t="s">
        <v>1677</v>
      </c>
      <c r="D22" s="116">
        <f>'תקבולים מפורט'!G47</f>
        <v>2000</v>
      </c>
      <c r="E22" s="201"/>
      <c r="F22" s="346"/>
    </row>
    <row r="23" spans="1:12" ht="22.5" customHeight="1">
      <c r="A23" s="131"/>
      <c r="B23" s="126">
        <v>23</v>
      </c>
      <c r="C23" s="468" t="str">
        <f>'תקבולים מפורט'!F48</f>
        <v xml:space="preserve">השתתפות משרד הפנים בעלויות היתרי בניה </v>
      </c>
      <c r="D23" s="116">
        <f>'תקבולים מפורט'!G48</f>
        <v>0</v>
      </c>
      <c r="E23" s="201"/>
      <c r="F23" s="346"/>
    </row>
    <row r="24" spans="1:12" ht="22.5" customHeight="1">
      <c r="A24" s="131"/>
      <c r="B24" s="126" t="s">
        <v>1002</v>
      </c>
      <c r="C24" s="101" t="s">
        <v>1235</v>
      </c>
      <c r="D24" s="116">
        <f>'תקבולים מפורט'!G49</f>
        <v>5</v>
      </c>
      <c r="E24" s="201"/>
      <c r="F24" s="346"/>
    </row>
    <row r="25" spans="1:12" ht="22.5" customHeight="1">
      <c r="A25" s="131"/>
      <c r="B25" s="126" t="s">
        <v>1002</v>
      </c>
      <c r="C25" s="408" t="s">
        <v>1948</v>
      </c>
      <c r="D25" s="116">
        <v>616</v>
      </c>
      <c r="E25" s="201"/>
      <c r="F25" s="346"/>
      <c r="K25" s="58"/>
    </row>
    <row r="26" spans="1:12" ht="22.5" customHeight="1">
      <c r="A26" s="131"/>
      <c r="B26" s="126" t="s">
        <v>1002</v>
      </c>
      <c r="C26" s="112" t="s">
        <v>709</v>
      </c>
      <c r="D26" s="116">
        <f>'תקבולים מפורט'!G51</f>
        <v>10500</v>
      </c>
      <c r="E26" s="201"/>
      <c r="F26" s="346"/>
      <c r="K26" s="58"/>
    </row>
    <row r="27" spans="1:12" ht="22.5" customHeight="1" thickBot="1">
      <c r="A27" s="131"/>
      <c r="B27" s="126" t="s">
        <v>1002</v>
      </c>
      <c r="C27" s="112" t="s">
        <v>711</v>
      </c>
      <c r="D27" s="116">
        <f>D28-SUM(D18:D26)</f>
        <v>9955.5999999999985</v>
      </c>
      <c r="E27" s="201"/>
      <c r="F27" s="470"/>
      <c r="K27" s="1102"/>
      <c r="L27" s="1102"/>
    </row>
    <row r="28" spans="1:12" ht="22.5" customHeight="1" thickBot="1">
      <c r="A28" s="131"/>
      <c r="B28" s="109"/>
      <c r="C28" s="109" t="s">
        <v>712</v>
      </c>
      <c r="D28" s="117">
        <f>D14</f>
        <v>28041.599999999999</v>
      </c>
      <c r="E28" s="201"/>
      <c r="F28" s="471"/>
      <c r="K28" s="491"/>
      <c r="L28" s="491"/>
    </row>
    <row r="29" spans="1:12" ht="22.5" customHeight="1">
      <c r="L29" s="50"/>
    </row>
    <row r="30" spans="1:12" ht="22.5" customHeight="1"/>
    <row r="225" spans="8:8" ht="27.65" customHeight="1">
      <c r="H225" s="1">
        <v>7</v>
      </c>
    </row>
    <row r="258" spans="8:8" ht="27.65" customHeight="1">
      <c r="H258" s="1">
        <v>7</v>
      </c>
    </row>
    <row r="274" spans="8:8" ht="27.65" customHeight="1">
      <c r="H274" s="1">
        <v>3.7</v>
      </c>
    </row>
    <row r="283" spans="8:8" ht="27.65" customHeight="1">
      <c r="H283" s="1">
        <v>0.88</v>
      </c>
    </row>
    <row r="305" spans="8:8" ht="27.65" customHeight="1">
      <c r="H305" s="1">
        <v>2.75</v>
      </c>
    </row>
    <row r="325" spans="8:8" ht="27.65" customHeight="1">
      <c r="H325" s="1">
        <v>7.5</v>
      </c>
    </row>
    <row r="341" spans="8:8" ht="27.65" customHeight="1">
      <c r="H341" s="1">
        <v>3.28</v>
      </c>
    </row>
    <row r="348" spans="8:8" ht="27.65" customHeight="1">
      <c r="H348" s="1">
        <v>9</v>
      </c>
    </row>
    <row r="356" spans="8:8" ht="27.65" customHeight="1">
      <c r="H356" s="1">
        <v>3</v>
      </c>
    </row>
    <row r="370" spans="8:8" ht="27.65" customHeight="1">
      <c r="H370" s="1">
        <v>4</v>
      </c>
    </row>
    <row r="393" spans="8:8" ht="27.65" customHeight="1">
      <c r="H393" s="1">
        <v>1</v>
      </c>
    </row>
    <row r="417" spans="8:8" ht="27.65" customHeight="1">
      <c r="H417" s="1">
        <v>2</v>
      </c>
    </row>
    <row r="418" spans="8:8" ht="27.65" customHeight="1">
      <c r="H418" s="1">
        <v>2</v>
      </c>
    </row>
    <row r="458" spans="8:8" ht="27.65" customHeight="1">
      <c r="H458" s="1">
        <v>0</v>
      </c>
    </row>
    <row r="474" spans="8:8" ht="27.65" customHeight="1">
      <c r="H474" s="1">
        <v>0.5</v>
      </c>
    </row>
    <row r="482" spans="8:8" ht="27.65" customHeight="1">
      <c r="H482" s="1">
        <v>0</v>
      </c>
    </row>
    <row r="504" spans="8:8" ht="27.65" customHeight="1">
      <c r="H504" s="1">
        <v>2</v>
      </c>
    </row>
    <row r="517" spans="8:8" ht="27.65" customHeight="1">
      <c r="H517" s="1">
        <v>2</v>
      </c>
    </row>
    <row r="526" spans="8:8" ht="27.65" customHeight="1">
      <c r="H526" s="1">
        <v>1</v>
      </c>
    </row>
    <row r="554" spans="8:8" ht="27.65" customHeight="1">
      <c r="H554" s="1">
        <v>2</v>
      </c>
    </row>
    <row r="566" spans="8:8" ht="27.65" customHeight="1">
      <c r="H566" s="1">
        <v>5</v>
      </c>
    </row>
    <row r="596" spans="8:8" ht="27.65" customHeight="1">
      <c r="H596" s="1">
        <v>0</v>
      </c>
    </row>
    <row r="601" spans="8:8" ht="27.65" customHeight="1">
      <c r="H601" s="1">
        <v>11.25</v>
      </c>
    </row>
    <row r="617" spans="8:8" ht="27.65" customHeight="1">
      <c r="H617" s="1">
        <v>16.989999999999998</v>
      </c>
    </row>
    <row r="633" spans="8:8" ht="27.65" customHeight="1">
      <c r="H633" s="1">
        <v>1</v>
      </c>
    </row>
    <row r="639" spans="8:8" ht="27.65" customHeight="1">
      <c r="H639" s="1">
        <v>0</v>
      </c>
    </row>
    <row r="643" spans="8:8" ht="27.65" customHeight="1">
      <c r="H643" s="1">
        <v>2</v>
      </c>
    </row>
    <row r="644" spans="8:8" ht="27.65" customHeight="1">
      <c r="H644" s="1">
        <v>3</v>
      </c>
    </row>
    <row r="647" spans="8:8" ht="27.65" customHeight="1">
      <c r="H647" s="1">
        <v>0.68</v>
      </c>
    </row>
    <row r="663" spans="8:8" ht="27.65" customHeight="1">
      <c r="H663" s="1">
        <v>2</v>
      </c>
    </row>
    <row r="703" spans="8:8" ht="27.65" customHeight="1">
      <c r="H703" s="1">
        <v>4</v>
      </c>
    </row>
    <row r="754" spans="8:8" ht="27.65" customHeight="1">
      <c r="H754" s="1">
        <v>2</v>
      </c>
    </row>
    <row r="783" spans="8:8" ht="27.65" customHeight="1">
      <c r="H783" s="1">
        <v>2.61</v>
      </c>
    </row>
    <row r="785" spans="8:8" ht="27.65" customHeight="1">
      <c r="H785" s="1">
        <v>0</v>
      </c>
    </row>
    <row r="786" spans="8:8" ht="27.65" customHeight="1">
      <c r="H786" s="1">
        <v>0</v>
      </c>
    </row>
    <row r="787" spans="8:8" ht="27.65" customHeight="1">
      <c r="H787" s="1">
        <v>0</v>
      </c>
    </row>
    <row r="788" spans="8:8" ht="27.65" customHeight="1">
      <c r="H788" s="1">
        <v>0</v>
      </c>
    </row>
    <row r="808" spans="8:8" ht="27.65" customHeight="1">
      <c r="H808" s="1">
        <v>2.75</v>
      </c>
    </row>
    <row r="818" spans="8:8" ht="27.65" customHeight="1">
      <c r="H818" s="1">
        <v>1</v>
      </c>
    </row>
    <row r="848" spans="8:8" ht="27.65" customHeight="1">
      <c r="H848" s="1">
        <v>0.5</v>
      </c>
    </row>
    <row r="870" spans="8:8" ht="27.65" customHeight="1">
      <c r="H870" s="1">
        <v>5.35</v>
      </c>
    </row>
    <row r="890" spans="8:8" ht="27.65" customHeight="1">
      <c r="H890" s="1">
        <v>2</v>
      </c>
    </row>
    <row r="899" spans="8:8" ht="27.65" customHeight="1">
      <c r="H899" s="1">
        <v>2.5</v>
      </c>
    </row>
    <row r="920" spans="8:8" ht="27.65" customHeight="1">
      <c r="H920" s="1">
        <v>17.46</v>
      </c>
    </row>
    <row r="940" spans="8:8" ht="27.65" customHeight="1">
      <c r="H940" s="1">
        <v>0.5</v>
      </c>
    </row>
    <row r="943" spans="8:8" ht="27.65" customHeight="1">
      <c r="H943" s="1">
        <v>0.8</v>
      </c>
    </row>
    <row r="950" spans="8:8" ht="27.65" customHeight="1">
      <c r="H950" s="1">
        <v>0.8</v>
      </c>
    </row>
    <row r="958" spans="8:8" ht="27.65" customHeight="1">
      <c r="H958" s="1">
        <v>1</v>
      </c>
    </row>
    <row r="965" spans="8:8" ht="27.65" customHeight="1">
      <c r="H965" s="1">
        <v>1.2</v>
      </c>
    </row>
    <row r="966" spans="8:8" ht="27.65" customHeight="1">
      <c r="H966" s="1">
        <v>0.5</v>
      </c>
    </row>
    <row r="967" spans="8:8" ht="27.65" customHeight="1">
      <c r="H967" s="1">
        <v>1</v>
      </c>
    </row>
    <row r="972" spans="8:8" ht="27.65" customHeight="1">
      <c r="H972" s="1">
        <v>0.67</v>
      </c>
    </row>
    <row r="973" spans="8:8" ht="27.65" customHeight="1">
      <c r="H973" s="1">
        <v>1.5</v>
      </c>
    </row>
    <row r="997" spans="8:8" ht="27.65" customHeight="1">
      <c r="H997" s="1">
        <v>0</v>
      </c>
    </row>
    <row r="1007" spans="8:8" ht="27.65" customHeight="1">
      <c r="H1007" s="1">
        <v>1.03</v>
      </c>
    </row>
    <row r="1063" spans="8:8" ht="27.65" customHeight="1">
      <c r="H1063" s="1">
        <v>1.5</v>
      </c>
    </row>
    <row r="1083" spans="8:8" ht="27.65" customHeight="1">
      <c r="H1083" s="1">
        <v>3</v>
      </c>
    </row>
    <row r="1096" spans="8:8" ht="27.65" customHeight="1">
      <c r="H1096" s="1">
        <v>0</v>
      </c>
    </row>
    <row r="1100" spans="8:8" ht="27.65" customHeight="1">
      <c r="H1100" s="1">
        <v>1.5</v>
      </c>
    </row>
    <row r="1125" spans="8:8" ht="27.65" customHeight="1">
      <c r="H1125" s="1">
        <v>2</v>
      </c>
    </row>
    <row r="1138" spans="8:8" ht="27.65" customHeight="1">
      <c r="H1138" s="1">
        <v>6.25</v>
      </c>
    </row>
    <row r="1148" spans="8:8" ht="27.65" customHeight="1">
      <c r="H1148" s="1">
        <v>1</v>
      </c>
    </row>
    <row r="1154" spans="8:8" ht="27.65" customHeight="1">
      <c r="H1154" s="1">
        <v>0.33</v>
      </c>
    </row>
    <row r="1176" spans="8:8" ht="27.65" customHeight="1">
      <c r="H1176" s="1">
        <v>1</v>
      </c>
    </row>
    <row r="1187" spans="8:8" ht="27.65" customHeight="1">
      <c r="H1187" s="1">
        <v>2</v>
      </c>
    </row>
    <row r="1190" spans="8:8" ht="27.65" customHeight="1">
      <c r="H1190" s="1">
        <v>1</v>
      </c>
    </row>
    <row r="1200" spans="8:8" ht="27.65" customHeight="1">
      <c r="H1200" s="1">
        <v>0</v>
      </c>
    </row>
    <row r="1212" spans="8:8" ht="27.65" customHeight="1">
      <c r="H1212" s="1">
        <v>2</v>
      </c>
    </row>
    <row r="1255" spans="8:8" ht="27.65" customHeight="1">
      <c r="H1255" s="1">
        <v>0</v>
      </c>
    </row>
    <row r="1310" spans="8:8" ht="27.65" customHeight="1">
      <c r="H1310" s="1">
        <v>0.44</v>
      </c>
    </row>
    <row r="1327" spans="8:8" ht="27.65" customHeight="1">
      <c r="H1327" s="1">
        <v>0.85</v>
      </c>
    </row>
    <row r="1355" spans="8:8" ht="27.65" customHeight="1">
      <c r="H1355" s="1">
        <v>0.74</v>
      </c>
    </row>
    <row r="1430" spans="8:8" ht="27.65" customHeight="1">
      <c r="H1430" s="1">
        <v>10</v>
      </c>
    </row>
    <row r="1435" spans="8:8" ht="27.65" customHeight="1">
      <c r="H1435" s="1">
        <v>4</v>
      </c>
    </row>
    <row r="1465" spans="8:8" ht="27.65" customHeight="1">
      <c r="H1465" s="1">
        <v>1.35</v>
      </c>
    </row>
    <row r="1520" spans="8:8" ht="27.65" customHeight="1">
      <c r="H1520" s="1">
        <v>1</v>
      </c>
    </row>
    <row r="1537" spans="8:8" ht="27.65" customHeight="1">
      <c r="H1537" s="1">
        <v>0</v>
      </c>
    </row>
    <row r="1553" spans="8:8" ht="27.65" customHeight="1">
      <c r="H1553" s="1">
        <v>0</v>
      </c>
    </row>
    <row r="1655" spans="8:8" ht="27.65" customHeight="1">
      <c r="H1655" s="1">
        <v>50</v>
      </c>
    </row>
    <row r="1822" spans="8:8" ht="27.65" customHeight="1">
      <c r="H1822" s="1">
        <f>29950-720-450-50</f>
        <v>28730</v>
      </c>
    </row>
  </sheetData>
  <mergeCells count="2">
    <mergeCell ref="B1:D1"/>
    <mergeCell ref="M13:M15"/>
  </mergeCells>
  <phoneticPr fontId="50" type="noConversion"/>
  <conditionalFormatting sqref="L17">
    <cfRule type="cellIs" dxfId="18" priority="12" stopIfTrue="1" operator="equal">
      <formula>$D$13</formula>
    </cfRule>
  </conditionalFormatting>
  <conditionalFormatting sqref="K27">
    <cfRule type="cellIs" dxfId="17" priority="6" stopIfTrue="1" operator="notEqual">
      <formula>$D$27</formula>
    </cfRule>
    <cfRule type="cellIs" dxfId="16" priority="8" stopIfTrue="1" operator="equal">
      <formula>$D$27</formula>
    </cfRule>
  </conditionalFormatting>
  <conditionalFormatting sqref="L27">
    <cfRule type="cellIs" dxfId="15" priority="5" stopIfTrue="1" operator="notEqual">
      <formula>$F$27</formula>
    </cfRule>
    <cfRule type="cellIs" dxfId="14" priority="7" stopIfTrue="1" operator="equal">
      <formula>$D$27</formula>
    </cfRule>
  </conditionalFormatting>
  <conditionalFormatting sqref="K28">
    <cfRule type="cellIs" dxfId="13" priority="2" stopIfTrue="1" operator="notEqual">
      <formula>$D$28</formula>
    </cfRule>
    <cfRule type="cellIs" dxfId="12" priority="4" stopIfTrue="1" operator="equal">
      <formula>$D$28</formula>
    </cfRule>
  </conditionalFormatting>
  <conditionalFormatting sqref="L28">
    <cfRule type="cellIs" dxfId="11" priority="1" stopIfTrue="1" operator="notEqual">
      <formula>$F$28</formula>
    </cfRule>
    <cfRule type="cellIs" dxfId="10" priority="3" stopIfTrue="1" operator="equal">
      <formula>$F$28</formula>
    </cfRule>
  </conditionalFormatting>
  <printOptions horizontalCentered="1"/>
  <pageMargins left="0.74803149606299213" right="0.6692913385826772" top="1.1023622047244095" bottom="0.55118110236220474" header="0.43307086614173229" footer="0.27559055118110237"/>
  <pageSetup scale="8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5" max="16383" man="1"/>
    <brk id="227" max="16383" man="1"/>
    <brk id="1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7"/>
  <sheetViews>
    <sheetView showGridLines="0" rightToLeft="1" view="pageBreakPreview" topLeftCell="A16" zoomScale="90" zoomScaleNormal="100" zoomScaleSheetLayoutView="90" workbookViewId="0"/>
  </sheetViews>
  <sheetFormatPr defaultColWidth="9" defaultRowHeight="14"/>
  <cols>
    <col min="1" max="1" width="12.58203125" style="216" customWidth="1"/>
    <col min="2" max="2" width="6.58203125" style="216" customWidth="1"/>
    <col min="3" max="3" width="28" style="216" bestFit="1" customWidth="1"/>
    <col min="4" max="7" width="10.08203125" style="216" customWidth="1"/>
    <col min="8" max="16384" width="9" style="216"/>
  </cols>
  <sheetData>
    <row r="1" spans="1:7" ht="20.25" customHeight="1">
      <c r="B1" s="501" t="s">
        <v>943</v>
      </c>
      <c r="C1" s="219"/>
      <c r="D1" s="219"/>
      <c r="E1" s="219"/>
      <c r="F1" s="219"/>
      <c r="G1" s="219"/>
    </row>
    <row r="2" spans="1:7" ht="18" customHeight="1" thickBot="1">
      <c r="A2" s="502"/>
      <c r="D2" s="503"/>
    </row>
    <row r="3" spans="1:7">
      <c r="B3" s="504" t="s">
        <v>944</v>
      </c>
      <c r="C3" s="505"/>
      <c r="D3" s="506" t="s">
        <v>945</v>
      </c>
      <c r="E3" s="505" t="s">
        <v>945</v>
      </c>
      <c r="F3" s="505" t="s">
        <v>71</v>
      </c>
      <c r="G3" s="507" t="s">
        <v>66</v>
      </c>
    </row>
    <row r="4" spans="1:7" ht="16.5" customHeight="1" thickBot="1">
      <c r="B4" s="508" t="s">
        <v>41</v>
      </c>
      <c r="C4" s="509" t="s">
        <v>946</v>
      </c>
      <c r="D4" s="510" t="s">
        <v>947</v>
      </c>
      <c r="E4" s="509" t="s">
        <v>948</v>
      </c>
      <c r="F4" s="509" t="s">
        <v>949</v>
      </c>
      <c r="G4" s="511" t="s">
        <v>72</v>
      </c>
    </row>
    <row r="5" spans="1:7" ht="22.5" customHeight="1">
      <c r="B5" s="492">
        <v>1</v>
      </c>
      <c r="C5" s="493" t="s">
        <v>75</v>
      </c>
      <c r="D5" s="494">
        <v>93.94</v>
      </c>
      <c r="E5" s="495">
        <v>0</v>
      </c>
      <c r="F5" s="496">
        <f>SUM(D5:E5)</f>
        <v>93.94</v>
      </c>
      <c r="G5" s="497">
        <f t="shared" ref="G5:G18" si="0">F5/$F$19</f>
        <v>4.3123634784046606E-2</v>
      </c>
    </row>
    <row r="6" spans="1:7" ht="22.5" customHeight="1">
      <c r="B6" s="498">
        <v>2</v>
      </c>
      <c r="C6" s="499" t="s">
        <v>76</v>
      </c>
      <c r="D6" s="341">
        <v>93.5</v>
      </c>
      <c r="E6" s="340">
        <v>0</v>
      </c>
      <c r="F6" s="496">
        <f>SUM(D6:E6)</f>
        <v>93.5</v>
      </c>
      <c r="G6" s="497">
        <f t="shared" si="0"/>
        <v>4.2921650546182223E-2</v>
      </c>
    </row>
    <row r="7" spans="1:7" ht="22.5" customHeight="1">
      <c r="B7" s="498">
        <v>3</v>
      </c>
      <c r="C7" s="499" t="s">
        <v>1606</v>
      </c>
      <c r="D7" s="341">
        <f>F7-E7</f>
        <v>59.2</v>
      </c>
      <c r="E7" s="340">
        <v>2.5</v>
      </c>
      <c r="F7" s="496">
        <v>61.7</v>
      </c>
      <c r="G7" s="497">
        <f t="shared" si="0"/>
        <v>2.8323698809619713E-2</v>
      </c>
    </row>
    <row r="8" spans="1:7" ht="22.5" customHeight="1">
      <c r="B8" s="498">
        <v>4</v>
      </c>
      <c r="C8" s="499" t="s">
        <v>268</v>
      </c>
      <c r="D8" s="341">
        <f>F8-E8</f>
        <v>81.5</v>
      </c>
      <c r="E8" s="340">
        <v>2</v>
      </c>
      <c r="F8" s="496">
        <v>83.5</v>
      </c>
      <c r="G8" s="497">
        <f t="shared" si="0"/>
        <v>3.8331099685627971E-2</v>
      </c>
    </row>
    <row r="9" spans="1:7" ht="22.5" customHeight="1">
      <c r="B9" s="498"/>
      <c r="C9" s="499" t="s">
        <v>79</v>
      </c>
      <c r="D9" s="341">
        <v>14</v>
      </c>
      <c r="E9" s="340">
        <v>0</v>
      </c>
      <c r="F9" s="496">
        <f>SUM(D9:E9)</f>
        <v>14</v>
      </c>
      <c r="G9" s="497">
        <f t="shared" si="0"/>
        <v>6.4267712047759475E-3</v>
      </c>
    </row>
    <row r="10" spans="1:7" ht="22.5" customHeight="1">
      <c r="B10" s="498">
        <v>5</v>
      </c>
      <c r="C10" s="499" t="s">
        <v>276</v>
      </c>
      <c r="D10" s="341">
        <v>83.65</v>
      </c>
      <c r="E10" s="340">
        <v>0</v>
      </c>
      <c r="F10" s="496">
        <f>SUM(D10:E10)</f>
        <v>83.65</v>
      </c>
      <c r="G10" s="497">
        <f t="shared" si="0"/>
        <v>3.839995794853629E-2</v>
      </c>
    </row>
    <row r="11" spans="1:7" ht="22.5" customHeight="1">
      <c r="B11" s="498">
        <v>6</v>
      </c>
      <c r="C11" s="500" t="s">
        <v>49</v>
      </c>
      <c r="D11" s="341">
        <f>F11-E11</f>
        <v>6.7000000000000028</v>
      </c>
      <c r="E11" s="340">
        <v>29</v>
      </c>
      <c r="F11" s="496">
        <v>35.700000000000003</v>
      </c>
      <c r="G11" s="497">
        <f t="shared" si="0"/>
        <v>1.6388266572178668E-2</v>
      </c>
    </row>
    <row r="12" spans="1:7" ht="22.5" customHeight="1">
      <c r="A12" s="528"/>
      <c r="B12" s="498">
        <v>81</v>
      </c>
      <c r="C12" s="499" t="s">
        <v>1227</v>
      </c>
      <c r="D12" s="341">
        <f>F12-E12</f>
        <v>341.11473538961002</v>
      </c>
      <c r="E12" s="340">
        <f>982.43526461039+28.87</f>
        <v>1011.3052646103901</v>
      </c>
      <c r="F12" s="496">
        <v>1352.42</v>
      </c>
      <c r="G12" s="497">
        <f t="shared" si="0"/>
        <v>0.62083527948307771</v>
      </c>
    </row>
    <row r="13" spans="1:7" ht="22.5" customHeight="1">
      <c r="A13" s="412"/>
      <c r="B13" s="498">
        <v>82</v>
      </c>
      <c r="C13" s="499" t="s">
        <v>2268</v>
      </c>
      <c r="D13" s="341">
        <f>F13-E13</f>
        <v>95.69780219780219</v>
      </c>
      <c r="E13" s="340">
        <f>3.2+1</f>
        <v>4.2</v>
      </c>
      <c r="F13" s="496">
        <v>99.897802197802193</v>
      </c>
      <c r="G13" s="497">
        <f t="shared" si="0"/>
        <v>4.5858594184659894E-2</v>
      </c>
    </row>
    <row r="14" spans="1:7" ht="22.5" customHeight="1">
      <c r="A14" s="412"/>
      <c r="B14" s="498">
        <v>84</v>
      </c>
      <c r="C14" s="499" t="s">
        <v>48</v>
      </c>
      <c r="D14" s="341">
        <f>F14-E14</f>
        <v>25.230000000000018</v>
      </c>
      <c r="E14" s="340">
        <f>92.82+5.56+2.32+2.35+2.75+2</f>
        <v>107.79999999999998</v>
      </c>
      <c r="F14" s="496">
        <v>133.03</v>
      </c>
      <c r="G14" s="497">
        <f t="shared" si="0"/>
        <v>6.1068098097953168E-2</v>
      </c>
    </row>
    <row r="15" spans="1:7" ht="22.5" customHeight="1">
      <c r="A15" s="412"/>
      <c r="B15" s="498">
        <v>9</v>
      </c>
      <c r="C15" s="499" t="s">
        <v>1595</v>
      </c>
      <c r="D15" s="341">
        <f>F15-E15</f>
        <v>80.5</v>
      </c>
      <c r="E15" s="340">
        <v>8</v>
      </c>
      <c r="F15" s="496">
        <v>88.5</v>
      </c>
      <c r="G15" s="497">
        <f t="shared" si="0"/>
        <v>4.0626375115905097E-2</v>
      </c>
    </row>
    <row r="16" spans="1:7" ht="22.5" customHeight="1">
      <c r="B16" s="498">
        <v>10</v>
      </c>
      <c r="C16" s="499" t="s">
        <v>613</v>
      </c>
      <c r="D16" s="341">
        <v>16</v>
      </c>
      <c r="E16" s="340">
        <v>0</v>
      </c>
      <c r="F16" s="496">
        <f>SUM(D16:E16)</f>
        <v>16</v>
      </c>
      <c r="G16" s="497">
        <f t="shared" si="0"/>
        <v>7.3448813768867971E-3</v>
      </c>
    </row>
    <row r="17" spans="1:7" ht="22.5" customHeight="1">
      <c r="B17" s="498">
        <v>11</v>
      </c>
      <c r="C17" s="499" t="s">
        <v>886</v>
      </c>
      <c r="D17" s="341">
        <v>15.549999999999999</v>
      </c>
      <c r="E17" s="340">
        <v>0</v>
      </c>
      <c r="F17" s="496">
        <f>SUM(D17:E17)</f>
        <v>15.549999999999999</v>
      </c>
      <c r="G17" s="497">
        <f t="shared" si="0"/>
        <v>7.1383065881618557E-3</v>
      </c>
    </row>
    <row r="18" spans="1:7" ht="22.5" customHeight="1" thickBot="1">
      <c r="B18" s="512">
        <v>12</v>
      </c>
      <c r="C18" s="513" t="s">
        <v>887</v>
      </c>
      <c r="D18" s="514">
        <v>7</v>
      </c>
      <c r="E18" s="515">
        <v>0</v>
      </c>
      <c r="F18" s="516">
        <f>SUM(D18:E18)</f>
        <v>7</v>
      </c>
      <c r="G18" s="517">
        <f t="shared" si="0"/>
        <v>3.2133856023879737E-3</v>
      </c>
    </row>
    <row r="19" spans="1:7" s="518" customFormat="1" ht="27" customHeight="1" thickBot="1">
      <c r="B19" s="519" t="s">
        <v>950</v>
      </c>
      <c r="C19" s="520"/>
      <c r="D19" s="521">
        <f>SUM(D5:D18)</f>
        <v>1013.582537587412</v>
      </c>
      <c r="E19" s="522">
        <f>SUM(E5:E18)</f>
        <v>1164.8052646103902</v>
      </c>
      <c r="F19" s="523">
        <f>SUM(F5:F18)</f>
        <v>2178.3878021978026</v>
      </c>
      <c r="G19" s="524">
        <f>SUM(G5:G18)</f>
        <v>0.99999999999999989</v>
      </c>
    </row>
    <row r="20" spans="1:7" s="337" customFormat="1" ht="19.5" customHeight="1">
      <c r="A20" s="412"/>
      <c r="B20" s="320"/>
      <c r="C20" s="525"/>
      <c r="D20" s="525"/>
      <c r="E20" s="525"/>
      <c r="F20" s="525"/>
      <c r="G20" s="525"/>
    </row>
    <row r="21" spans="1:7" ht="15.75" customHeight="1">
      <c r="C21" s="526" t="s">
        <v>951</v>
      </c>
      <c r="D21" s="527" t="s">
        <v>147</v>
      </c>
      <c r="E21" s="318"/>
      <c r="F21" s="528">
        <f>'תשלומים מפורט'!G6</f>
        <v>4</v>
      </c>
    </row>
    <row r="22" spans="1:7" ht="19.5" customHeight="1">
      <c r="C22" s="318"/>
      <c r="D22" s="527" t="s">
        <v>952</v>
      </c>
      <c r="E22" s="318"/>
      <c r="F22" s="528">
        <f>181.9322+25.4588333333333+179.984933333333</f>
        <v>387.37596666666627</v>
      </c>
    </row>
    <row r="23" spans="1:7" ht="15.75" customHeight="1">
      <c r="B23" s="529"/>
      <c r="C23" s="318"/>
      <c r="D23" s="530" t="s">
        <v>953</v>
      </c>
      <c r="E23" s="531"/>
      <c r="F23" s="532">
        <f>SUM(F19:F22)</f>
        <v>2569.7637688644691</v>
      </c>
    </row>
    <row r="24" spans="1:7">
      <c r="C24" s="318"/>
      <c r="D24" s="318"/>
      <c r="E24" s="318"/>
      <c r="F24" s="318"/>
    </row>
    <row r="25" spans="1:7">
      <c r="B25" s="533"/>
    </row>
    <row r="26" spans="1:7">
      <c r="B26" s="533"/>
    </row>
    <row r="197" spans="6:6">
      <c r="F197" s="216" t="s">
        <v>365</v>
      </c>
    </row>
  </sheetData>
  <phoneticPr fontId="12" type="noConversion"/>
  <pageMargins left="1.3130314960629921" right="0.6692913385826772" top="1.4566929133858268" bottom="0.43307086614173229" header="0.19685039370078741" footer="0.15748031496062992"/>
  <pageSetup paperSize="9" scale="87"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23" max="6" man="1"/>
    <brk id="219" max="16383" man="1"/>
    <brk id="231" max="16383" man="1"/>
    <brk id="120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3" tint="0.79998168889431442"/>
    <pageSetUpPr fitToPage="1"/>
  </sheetPr>
  <dimension ref="A1:T1818"/>
  <sheetViews>
    <sheetView showGridLines="0" rightToLeft="1" view="pageBreakPreview" topLeftCell="G1" zoomScale="90" zoomScaleNormal="100" zoomScaleSheetLayoutView="90" workbookViewId="0">
      <pane ySplit="2" topLeftCell="A3" activePane="bottomLeft" state="frozen"/>
      <selection activeCell="D68" sqref="D68"/>
      <selection pane="bottomLeft" activeCell="J21" sqref="J21"/>
    </sheetView>
  </sheetViews>
  <sheetFormatPr defaultColWidth="9.58203125" defaultRowHeight="19.399999999999999" customHeight="1"/>
  <cols>
    <col min="1" max="1" width="2.08203125" style="100" customWidth="1"/>
    <col min="2" max="2" width="11.58203125" style="1038" customWidth="1"/>
    <col min="3" max="3" width="3.58203125" style="1039" customWidth="1"/>
    <col min="4" max="4" width="5.58203125" style="1040" customWidth="1"/>
    <col min="5" max="5" width="7.58203125" style="1041" customWidth="1"/>
    <col min="6" max="6" width="38.58203125" style="1042" customWidth="1"/>
    <col min="7" max="7" width="10.58203125" style="1043" customWidth="1"/>
    <col min="8" max="11" width="10.58203125" style="1044" customWidth="1"/>
    <col min="12" max="12" width="4.08203125" style="337" customWidth="1"/>
    <col min="13" max="13" width="11.08203125" style="602" customWidth="1"/>
    <col min="14" max="16" width="6.75" style="603" customWidth="1"/>
    <col min="17" max="17" width="9.58203125" style="216"/>
    <col min="18" max="18" width="10.58203125" style="216" customWidth="1"/>
    <col min="19" max="16384" width="9.58203125" style="216"/>
  </cols>
  <sheetData>
    <row r="1" spans="1:20" s="411" customFormat="1" ht="18.75" customHeight="1">
      <c r="A1" s="905" t="s">
        <v>1189</v>
      </c>
      <c r="B1" s="906"/>
      <c r="C1" s="907"/>
      <c r="D1" s="908"/>
      <c r="E1" s="909"/>
      <c r="F1" s="910" t="s">
        <v>2110</v>
      </c>
      <c r="G1" s="911" t="s">
        <v>780</v>
      </c>
      <c r="H1" s="911" t="s">
        <v>954</v>
      </c>
      <c r="I1" s="911" t="s">
        <v>2109</v>
      </c>
      <c r="J1" s="911" t="s">
        <v>780</v>
      </c>
      <c r="K1" s="912" t="s">
        <v>955</v>
      </c>
      <c r="M1" s="598"/>
      <c r="N1" s="603"/>
      <c r="O1" s="603"/>
      <c r="P1" s="643"/>
      <c r="Q1" s="643"/>
      <c r="R1" s="646"/>
      <c r="S1" s="1150"/>
      <c r="T1" s="1150"/>
    </row>
    <row r="2" spans="1:20" s="430" customFormat="1" ht="19.149999999999999" customHeight="1" thickBot="1">
      <c r="A2" s="905" t="s">
        <v>1189</v>
      </c>
      <c r="B2" s="913" t="s">
        <v>1356</v>
      </c>
      <c r="C2" s="914" t="s">
        <v>41</v>
      </c>
      <c r="D2" s="915" t="s">
        <v>40</v>
      </c>
      <c r="E2" s="916" t="s">
        <v>158</v>
      </c>
      <c r="F2" s="917" t="s">
        <v>640</v>
      </c>
      <c r="G2" s="918" t="s">
        <v>2081</v>
      </c>
      <c r="H2" s="919" t="s">
        <v>1915</v>
      </c>
      <c r="I2" s="920" t="s">
        <v>2080</v>
      </c>
      <c r="J2" s="920" t="s">
        <v>2079</v>
      </c>
      <c r="K2" s="921" t="s">
        <v>1796</v>
      </c>
      <c r="M2" s="599"/>
      <c r="N2" s="604"/>
      <c r="O2" s="604"/>
      <c r="P2" s="644"/>
      <c r="Q2" s="645"/>
      <c r="R2" s="647"/>
      <c r="S2" s="627"/>
      <c r="T2" s="627"/>
    </row>
    <row r="3" spans="1:20" ht="19.149999999999999" customHeight="1">
      <c r="B3" s="922"/>
      <c r="C3" s="923"/>
      <c r="D3" s="924"/>
      <c r="E3" s="925" t="s">
        <v>159</v>
      </c>
      <c r="F3" s="926" t="s">
        <v>956</v>
      </c>
      <c r="G3" s="927"/>
      <c r="H3" s="928"/>
      <c r="I3" s="929"/>
      <c r="J3" s="930"/>
      <c r="K3" s="931"/>
      <c r="L3" s="216"/>
      <c r="M3" s="600"/>
    </row>
    <row r="4" spans="1:20" ht="19.399999999999999" customHeight="1">
      <c r="B4" s="922"/>
      <c r="C4" s="932"/>
      <c r="D4" s="924"/>
      <c r="E4" s="925" t="s">
        <v>266</v>
      </c>
      <c r="F4" s="933" t="s">
        <v>957</v>
      </c>
      <c r="G4" s="927"/>
      <c r="H4" s="928"/>
      <c r="I4" s="930"/>
      <c r="J4" s="930"/>
      <c r="K4" s="931"/>
      <c r="L4" s="216"/>
      <c r="M4" s="600"/>
    </row>
    <row r="5" spans="1:20" ht="19.149999999999999" customHeight="1">
      <c r="B5" s="934" t="s">
        <v>957</v>
      </c>
      <c r="C5" s="935">
        <v>2</v>
      </c>
      <c r="D5" s="936">
        <v>100</v>
      </c>
      <c r="E5" s="937">
        <v>111100</v>
      </c>
      <c r="F5" s="101" t="s">
        <v>958</v>
      </c>
      <c r="G5" s="938">
        <v>206000</v>
      </c>
      <c r="H5" s="939">
        <v>201000</v>
      </c>
      <c r="I5" s="938">
        <v>201000</v>
      </c>
      <c r="J5" s="938">
        <v>201000</v>
      </c>
      <c r="K5" s="940">
        <v>193748.28752000001</v>
      </c>
      <c r="M5" s="601"/>
    </row>
    <row r="6" spans="1:20" ht="19.149999999999999" customHeight="1">
      <c r="B6" s="934" t="s">
        <v>957</v>
      </c>
      <c r="C6" s="935">
        <v>2</v>
      </c>
      <c r="D6" s="936">
        <v>100</v>
      </c>
      <c r="E6" s="937">
        <v>111200</v>
      </c>
      <c r="F6" s="101" t="s">
        <v>618</v>
      </c>
      <c r="G6" s="938">
        <v>15000</v>
      </c>
      <c r="H6" s="939">
        <v>15000</v>
      </c>
      <c r="I6" s="938">
        <v>15000</v>
      </c>
      <c r="J6" s="938">
        <v>15000</v>
      </c>
      <c r="K6" s="940">
        <v>15689.43296</v>
      </c>
      <c r="M6" s="601"/>
    </row>
    <row r="7" spans="1:20" ht="19.149999999999999" customHeight="1">
      <c r="B7" s="934" t="s">
        <v>957</v>
      </c>
      <c r="C7" s="935">
        <v>2</v>
      </c>
      <c r="D7" s="936">
        <v>100</v>
      </c>
      <c r="E7" s="937">
        <v>111300</v>
      </c>
      <c r="F7" s="101" t="s">
        <v>619</v>
      </c>
      <c r="G7" s="938">
        <v>319000</v>
      </c>
      <c r="H7" s="939">
        <v>230000</v>
      </c>
      <c r="I7" s="938">
        <v>228490</v>
      </c>
      <c r="J7" s="938">
        <v>316000</v>
      </c>
      <c r="K7" s="940">
        <v>304600.51908</v>
      </c>
      <c r="M7" s="601"/>
    </row>
    <row r="8" spans="1:20" ht="19.149999999999999" customHeight="1">
      <c r="B8" s="934" t="s">
        <v>957</v>
      </c>
      <c r="C8" s="935">
        <v>2</v>
      </c>
      <c r="D8" s="936">
        <v>910</v>
      </c>
      <c r="E8" s="937">
        <v>111300</v>
      </c>
      <c r="F8" s="101" t="s">
        <v>2149</v>
      </c>
      <c r="G8" s="938">
        <v>0</v>
      </c>
      <c r="H8" s="939">
        <v>74300</v>
      </c>
      <c r="I8" s="938">
        <v>72000</v>
      </c>
      <c r="J8" s="938">
        <v>0</v>
      </c>
      <c r="K8" s="940">
        <v>0</v>
      </c>
      <c r="M8" s="601"/>
    </row>
    <row r="9" spans="1:20" ht="19.149999999999999" customHeight="1">
      <c r="B9" s="934" t="s">
        <v>957</v>
      </c>
      <c r="C9" s="935">
        <v>2</v>
      </c>
      <c r="D9" s="936">
        <v>100</v>
      </c>
      <c r="E9" s="937">
        <v>111400</v>
      </c>
      <c r="F9" s="101" t="s">
        <v>703</v>
      </c>
      <c r="G9" s="938">
        <v>30000</v>
      </c>
      <c r="H9" s="939">
        <v>29000</v>
      </c>
      <c r="I9" s="938">
        <v>30000</v>
      </c>
      <c r="J9" s="938">
        <v>30000</v>
      </c>
      <c r="K9" s="940">
        <v>45957.687079999996</v>
      </c>
      <c r="M9" s="601"/>
    </row>
    <row r="10" spans="1:20" ht="19.149999999999999" customHeight="1">
      <c r="B10" s="934"/>
      <c r="C10" s="935"/>
      <c r="D10" s="936"/>
      <c r="E10" s="937"/>
      <c r="F10" s="941" t="s">
        <v>172</v>
      </c>
      <c r="G10" s="942">
        <f>SUM(G5:G9)</f>
        <v>570000</v>
      </c>
      <c r="H10" s="943">
        <f>SUM(H5:H9)</f>
        <v>549300</v>
      </c>
      <c r="I10" s="942">
        <f>SUM(I5:I9)</f>
        <v>546490</v>
      </c>
      <c r="J10" s="942">
        <f>SUM(J5:J9)</f>
        <v>562000</v>
      </c>
      <c r="K10" s="944">
        <f>SUM(K5:K9)</f>
        <v>559995.92663999996</v>
      </c>
      <c r="L10" s="216"/>
      <c r="M10" s="601"/>
    </row>
    <row r="11" spans="1:20" ht="19.149999999999999" customHeight="1">
      <c r="B11" s="934" t="s">
        <v>957</v>
      </c>
      <c r="C11" s="935">
        <v>2</v>
      </c>
      <c r="D11" s="936">
        <v>106</v>
      </c>
      <c r="E11" s="937">
        <v>113000</v>
      </c>
      <c r="F11" s="101" t="s">
        <v>1912</v>
      </c>
      <c r="G11" s="938">
        <v>1650</v>
      </c>
      <c r="H11" s="939">
        <v>1400</v>
      </c>
      <c r="I11" s="938">
        <v>1650</v>
      </c>
      <c r="J11" s="938">
        <v>1650</v>
      </c>
      <c r="K11" s="940">
        <v>1623.0583000000001</v>
      </c>
      <c r="M11" s="601"/>
    </row>
    <row r="12" spans="1:20" ht="19.149999999999999" customHeight="1">
      <c r="B12" s="934" t="s">
        <v>957</v>
      </c>
      <c r="C12" s="935">
        <v>2</v>
      </c>
      <c r="D12" s="936">
        <v>106</v>
      </c>
      <c r="E12" s="937">
        <v>115000</v>
      </c>
      <c r="F12" s="101" t="s">
        <v>1560</v>
      </c>
      <c r="G12" s="938">
        <v>61000</v>
      </c>
      <c r="H12" s="939">
        <v>60500</v>
      </c>
      <c r="I12" s="938">
        <v>55000</v>
      </c>
      <c r="J12" s="938">
        <v>55000</v>
      </c>
      <c r="K12" s="940">
        <v>60689.018700000001</v>
      </c>
      <c r="M12" s="601"/>
    </row>
    <row r="13" spans="1:20" ht="19.149999999999999" customHeight="1">
      <c r="B13" s="934" t="s">
        <v>957</v>
      </c>
      <c r="C13" s="935">
        <v>2</v>
      </c>
      <c r="D13" s="936">
        <v>106</v>
      </c>
      <c r="E13" s="937">
        <v>116000</v>
      </c>
      <c r="F13" s="945" t="s">
        <v>1123</v>
      </c>
      <c r="G13" s="938">
        <v>350</v>
      </c>
      <c r="H13" s="939">
        <v>300</v>
      </c>
      <c r="I13" s="938">
        <v>285</v>
      </c>
      <c r="J13" s="938">
        <v>285</v>
      </c>
      <c r="K13" s="940">
        <v>0</v>
      </c>
      <c r="M13" s="601"/>
    </row>
    <row r="14" spans="1:20" ht="19.149999999999999" customHeight="1">
      <c r="B14" s="934" t="s">
        <v>957</v>
      </c>
      <c r="C14" s="935">
        <v>2</v>
      </c>
      <c r="D14" s="936">
        <v>106</v>
      </c>
      <c r="E14" s="937">
        <v>117000</v>
      </c>
      <c r="F14" s="945" t="s">
        <v>2156</v>
      </c>
      <c r="G14" s="938">
        <v>0</v>
      </c>
      <c r="H14" s="939">
        <v>80000</v>
      </c>
      <c r="I14" s="938">
        <v>80000</v>
      </c>
      <c r="J14" s="938">
        <v>0</v>
      </c>
      <c r="K14" s="940">
        <v>0</v>
      </c>
      <c r="M14" s="601"/>
    </row>
    <row r="15" spans="1:20" ht="19.149999999999999" customHeight="1">
      <c r="B15" s="934"/>
      <c r="C15" s="935"/>
      <c r="D15" s="936"/>
      <c r="E15" s="937"/>
      <c r="F15" s="941" t="s">
        <v>1124</v>
      </c>
      <c r="G15" s="946">
        <f>SUM(G11:G14)</f>
        <v>63000</v>
      </c>
      <c r="H15" s="947">
        <f>SUM(H11:H14)</f>
        <v>142200</v>
      </c>
      <c r="I15" s="946">
        <f>SUM(I11:I14)</f>
        <v>136935</v>
      </c>
      <c r="J15" s="946">
        <f>SUM(J11:J14)</f>
        <v>56935</v>
      </c>
      <c r="K15" s="948">
        <f>SUM(K11:K14)</f>
        <v>62312.076999999997</v>
      </c>
      <c r="L15" s="216"/>
      <c r="M15" s="601"/>
    </row>
    <row r="16" spans="1:20" ht="19.149999999999999" customHeight="1">
      <c r="B16" s="949"/>
      <c r="C16" s="950"/>
      <c r="D16" s="951"/>
      <c r="E16" s="952" t="s">
        <v>266</v>
      </c>
      <c r="F16" s="953" t="s">
        <v>1125</v>
      </c>
      <c r="G16" s="954">
        <f>G10+G15</f>
        <v>633000</v>
      </c>
      <c r="H16" s="955">
        <f>H10+H15</f>
        <v>691500</v>
      </c>
      <c r="I16" s="954">
        <f>I10+I15</f>
        <v>683425</v>
      </c>
      <c r="J16" s="954">
        <f>J10+J15</f>
        <v>618935</v>
      </c>
      <c r="K16" s="956">
        <f>K10+K15</f>
        <v>622308.00364000001</v>
      </c>
      <c r="L16" s="216"/>
      <c r="M16" s="601"/>
    </row>
    <row r="17" spans="2:20" ht="19.149999999999999" customHeight="1">
      <c r="B17" s="922"/>
      <c r="C17" s="932"/>
      <c r="D17" s="924"/>
      <c r="E17" s="925" t="s">
        <v>1126</v>
      </c>
      <c r="F17" s="926" t="s">
        <v>379</v>
      </c>
      <c r="G17" s="927"/>
      <c r="H17" s="930"/>
      <c r="I17" s="927"/>
      <c r="J17" s="927"/>
      <c r="K17" s="957"/>
      <c r="L17" s="216"/>
      <c r="M17" s="601"/>
    </row>
    <row r="18" spans="2:20" ht="19.149999999999999" customHeight="1">
      <c r="B18" s="934" t="s">
        <v>1127</v>
      </c>
      <c r="C18" s="935">
        <v>2</v>
      </c>
      <c r="D18" s="936">
        <v>220</v>
      </c>
      <c r="E18" s="937">
        <v>121000</v>
      </c>
      <c r="F18" s="101" t="s">
        <v>598</v>
      </c>
      <c r="G18" s="938">
        <v>300</v>
      </c>
      <c r="H18" s="939">
        <v>250</v>
      </c>
      <c r="I18" s="938">
        <v>300</v>
      </c>
      <c r="J18" s="938">
        <v>300</v>
      </c>
      <c r="K18" s="940">
        <v>232.83770999999999</v>
      </c>
      <c r="L18" s="545"/>
      <c r="M18" s="601"/>
    </row>
    <row r="19" spans="2:20" ht="19.149999999999999" customHeight="1">
      <c r="B19" s="934" t="s">
        <v>2086</v>
      </c>
      <c r="C19" s="935">
        <v>3</v>
      </c>
      <c r="D19" s="936">
        <v>220</v>
      </c>
      <c r="E19" s="937">
        <v>122000</v>
      </c>
      <c r="F19" s="958" t="s">
        <v>2102</v>
      </c>
      <c r="G19" s="938">
        <v>2200</v>
      </c>
      <c r="H19" s="939">
        <v>1000</v>
      </c>
      <c r="I19" s="938">
        <v>1875</v>
      </c>
      <c r="J19" s="938">
        <v>2500</v>
      </c>
      <c r="K19" s="940">
        <v>2210.5525499999999</v>
      </c>
      <c r="M19" s="601"/>
    </row>
    <row r="20" spans="2:20" ht="19.149999999999999" customHeight="1">
      <c r="B20" s="934" t="s">
        <v>2086</v>
      </c>
      <c r="C20" s="935">
        <v>3</v>
      </c>
      <c r="D20" s="936">
        <v>220</v>
      </c>
      <c r="E20" s="937">
        <v>124100</v>
      </c>
      <c r="F20" s="101" t="s">
        <v>1181</v>
      </c>
      <c r="G20" s="938">
        <v>17</v>
      </c>
      <c r="H20" s="939">
        <v>12</v>
      </c>
      <c r="I20" s="938">
        <v>20</v>
      </c>
      <c r="J20" s="938">
        <v>20</v>
      </c>
      <c r="K20" s="940">
        <v>16.553849999999997</v>
      </c>
      <c r="M20" s="601"/>
    </row>
    <row r="21" spans="2:20" ht="19.149999999999999" customHeight="1">
      <c r="B21" s="959"/>
      <c r="C21" s="960"/>
      <c r="D21" s="961"/>
      <c r="E21" s="962" t="s">
        <v>1126</v>
      </c>
      <c r="F21" s="963" t="s">
        <v>380</v>
      </c>
      <c r="G21" s="964">
        <f>SUM(G18:G20)</f>
        <v>2517</v>
      </c>
      <c r="H21" s="965">
        <f>SUM(H18:H20)</f>
        <v>1262</v>
      </c>
      <c r="I21" s="964">
        <f>SUM(I18:I20)</f>
        <v>2195</v>
      </c>
      <c r="J21" s="964">
        <f>SUM(J18:J20)</f>
        <v>2820</v>
      </c>
      <c r="K21" s="966">
        <f>SUM(K18:K20)</f>
        <v>2459.9441099999995</v>
      </c>
      <c r="L21" s="216"/>
      <c r="M21" s="601"/>
    </row>
    <row r="22" spans="2:20" ht="19.149999999999999" customHeight="1" thickBot="1">
      <c r="B22" s="967"/>
      <c r="C22" s="968"/>
      <c r="D22" s="969"/>
      <c r="E22" s="970" t="s">
        <v>159</v>
      </c>
      <c r="F22" s="971" t="s">
        <v>1182</v>
      </c>
      <c r="G22" s="972">
        <f>SUMIF($E$3:$E$21,"??.",G3:G21)</f>
        <v>635517</v>
      </c>
      <c r="H22" s="973">
        <f>SUMIF($E$3:$E$21,"??.",H3:H21)</f>
        <v>692762</v>
      </c>
      <c r="I22" s="972">
        <f>SUMIF($E$3:$E$21,"??.",I3:I21)</f>
        <v>685620</v>
      </c>
      <c r="J22" s="972">
        <f>SUMIF($E$3:$E$21,"??.",J3:J21)</f>
        <v>621755</v>
      </c>
      <c r="K22" s="974">
        <f>SUMIF($E$3:$E$21,"??.",K3:K21)</f>
        <v>624767.94775000005</v>
      </c>
      <c r="L22" s="216"/>
      <c r="M22" s="601"/>
    </row>
    <row r="23" spans="2:20" ht="19.149999999999999" customHeight="1" thickTop="1">
      <c r="B23" s="922"/>
      <c r="C23" s="932"/>
      <c r="D23" s="924"/>
      <c r="E23" s="925" t="s">
        <v>161</v>
      </c>
      <c r="F23" s="926" t="s">
        <v>1183</v>
      </c>
      <c r="G23" s="927"/>
      <c r="H23" s="930"/>
      <c r="I23" s="927"/>
      <c r="J23" s="927"/>
      <c r="K23" s="957"/>
      <c r="L23" s="216"/>
      <c r="M23" s="601"/>
    </row>
    <row r="24" spans="2:20" ht="19.149999999999999" customHeight="1">
      <c r="B24" s="922"/>
      <c r="C24" s="932"/>
      <c r="D24" s="924"/>
      <c r="E24" s="925" t="s">
        <v>684</v>
      </c>
      <c r="F24" s="926" t="s">
        <v>685</v>
      </c>
      <c r="G24" s="927"/>
      <c r="H24" s="930"/>
      <c r="I24" s="927"/>
      <c r="J24" s="927"/>
      <c r="K24" s="957"/>
      <c r="L24" s="216"/>
      <c r="M24" s="601"/>
    </row>
    <row r="25" spans="2:20" ht="19.149999999999999" customHeight="1">
      <c r="B25" s="934" t="s">
        <v>685</v>
      </c>
      <c r="C25" s="935">
        <v>3</v>
      </c>
      <c r="D25" s="936">
        <v>220</v>
      </c>
      <c r="E25" s="937">
        <v>212000</v>
      </c>
      <c r="F25" s="101" t="s">
        <v>686</v>
      </c>
      <c r="G25" s="938">
        <v>3</v>
      </c>
      <c r="H25" s="939">
        <v>0</v>
      </c>
      <c r="I25" s="938">
        <v>3</v>
      </c>
      <c r="J25" s="938">
        <v>3</v>
      </c>
      <c r="K25" s="940">
        <v>0</v>
      </c>
      <c r="M25" s="601"/>
    </row>
    <row r="26" spans="2:20" ht="28">
      <c r="B26" s="934" t="s">
        <v>685</v>
      </c>
      <c r="C26" s="935">
        <v>3</v>
      </c>
      <c r="D26" s="936">
        <v>220</v>
      </c>
      <c r="E26" s="937">
        <v>212100</v>
      </c>
      <c r="F26" s="958" t="s">
        <v>2314</v>
      </c>
      <c r="G26" s="938">
        <v>1050</v>
      </c>
      <c r="H26" s="939">
        <v>1000</v>
      </c>
      <c r="I26" s="938">
        <v>1050</v>
      </c>
      <c r="J26" s="938">
        <v>1050</v>
      </c>
      <c r="K26" s="940">
        <v>461.12819000000002</v>
      </c>
      <c r="M26" s="601"/>
    </row>
    <row r="27" spans="2:20" ht="28">
      <c r="B27" s="934" t="s">
        <v>685</v>
      </c>
      <c r="C27" s="935">
        <v>3</v>
      </c>
      <c r="D27" s="936">
        <v>221</v>
      </c>
      <c r="E27" s="937">
        <v>212100</v>
      </c>
      <c r="F27" s="958" t="s">
        <v>2006</v>
      </c>
      <c r="G27" s="938">
        <v>855</v>
      </c>
      <c r="H27" s="939">
        <v>660</v>
      </c>
      <c r="I27" s="938">
        <v>660</v>
      </c>
      <c r="J27" s="938">
        <v>660</v>
      </c>
      <c r="K27" s="940">
        <v>278.63247999999999</v>
      </c>
      <c r="M27" s="601"/>
    </row>
    <row r="28" spans="2:20" ht="28">
      <c r="B28" s="934" t="s">
        <v>685</v>
      </c>
      <c r="C28" s="935">
        <v>3</v>
      </c>
      <c r="D28" s="936">
        <v>222</v>
      </c>
      <c r="E28" s="937">
        <v>212100</v>
      </c>
      <c r="F28" s="958" t="s">
        <v>1438</v>
      </c>
      <c r="G28" s="938">
        <v>80</v>
      </c>
      <c r="H28" s="939">
        <v>80</v>
      </c>
      <c r="I28" s="938">
        <v>80</v>
      </c>
      <c r="J28" s="938">
        <v>80</v>
      </c>
      <c r="K28" s="940">
        <v>73.787999999999997</v>
      </c>
      <c r="M28" s="601"/>
    </row>
    <row r="29" spans="2:20" ht="28">
      <c r="B29" s="934" t="s">
        <v>685</v>
      </c>
      <c r="C29" s="935">
        <v>3</v>
      </c>
      <c r="D29" s="936">
        <v>223</v>
      </c>
      <c r="E29" s="937">
        <v>212100</v>
      </c>
      <c r="F29" s="958" t="s">
        <v>2184</v>
      </c>
      <c r="G29" s="938">
        <v>117</v>
      </c>
      <c r="H29" s="939">
        <v>0</v>
      </c>
      <c r="I29" s="938">
        <v>0</v>
      </c>
      <c r="J29" s="938">
        <v>0</v>
      </c>
      <c r="K29" s="940">
        <v>0</v>
      </c>
      <c r="M29" s="601"/>
      <c r="S29" s="592"/>
      <c r="T29" s="592"/>
    </row>
    <row r="30" spans="2:20" ht="19.149999999999999" customHeight="1">
      <c r="B30" s="934" t="s">
        <v>685</v>
      </c>
      <c r="C30" s="935">
        <v>3</v>
      </c>
      <c r="D30" s="936">
        <v>490</v>
      </c>
      <c r="E30" s="937">
        <v>212300</v>
      </c>
      <c r="F30" s="101" t="s">
        <v>1274</v>
      </c>
      <c r="G30" s="938">
        <v>66</v>
      </c>
      <c r="H30" s="939">
        <v>66</v>
      </c>
      <c r="I30" s="938">
        <v>66</v>
      </c>
      <c r="J30" s="938">
        <v>66</v>
      </c>
      <c r="K30" s="940">
        <v>0</v>
      </c>
      <c r="M30" s="601"/>
    </row>
    <row r="31" spans="2:20" ht="18.75" customHeight="1">
      <c r="B31" s="1048" t="s">
        <v>1143</v>
      </c>
      <c r="C31" s="935">
        <v>9</v>
      </c>
      <c r="D31" s="936">
        <v>220</v>
      </c>
      <c r="E31" s="937">
        <v>213300</v>
      </c>
      <c r="F31" s="958" t="s">
        <v>2154</v>
      </c>
      <c r="G31" s="938">
        <v>258</v>
      </c>
      <c r="H31" s="939">
        <v>161</v>
      </c>
      <c r="I31" s="938">
        <v>340</v>
      </c>
      <c r="J31" s="938">
        <v>340</v>
      </c>
      <c r="K31" s="940">
        <v>226.81139000000002</v>
      </c>
      <c r="M31" s="601"/>
    </row>
    <row r="32" spans="2:20" ht="19.149999999999999" customHeight="1">
      <c r="B32" s="934" t="s">
        <v>685</v>
      </c>
      <c r="C32" s="935">
        <v>3</v>
      </c>
      <c r="D32" s="936">
        <v>221</v>
      </c>
      <c r="E32" s="937">
        <v>214200</v>
      </c>
      <c r="F32" s="101" t="s">
        <v>299</v>
      </c>
      <c r="G32" s="938">
        <v>354</v>
      </c>
      <c r="H32" s="939">
        <v>342</v>
      </c>
      <c r="I32" s="938">
        <v>525</v>
      </c>
      <c r="J32" s="938">
        <v>525</v>
      </c>
      <c r="K32" s="940">
        <v>426.16800000000001</v>
      </c>
      <c r="M32" s="601"/>
    </row>
    <row r="33" spans="2:15" ht="19.149999999999999" customHeight="1">
      <c r="B33" s="934" t="s">
        <v>685</v>
      </c>
      <c r="C33" s="935">
        <v>3</v>
      </c>
      <c r="D33" s="936">
        <v>220</v>
      </c>
      <c r="E33" s="937">
        <v>214300</v>
      </c>
      <c r="F33" s="101" t="s">
        <v>54</v>
      </c>
      <c r="G33" s="938">
        <v>600</v>
      </c>
      <c r="H33" s="939">
        <v>600</v>
      </c>
      <c r="I33" s="938">
        <v>535</v>
      </c>
      <c r="J33" s="938">
        <v>535</v>
      </c>
      <c r="K33" s="940">
        <v>541.28455000000008</v>
      </c>
      <c r="M33" s="601"/>
    </row>
    <row r="34" spans="2:15" ht="19.149999999999999" customHeight="1">
      <c r="B34" s="934" t="s">
        <v>685</v>
      </c>
      <c r="C34" s="935">
        <v>3</v>
      </c>
      <c r="D34" s="936">
        <v>221</v>
      </c>
      <c r="E34" s="937">
        <v>214300</v>
      </c>
      <c r="F34" s="101" t="s">
        <v>771</v>
      </c>
      <c r="G34" s="938">
        <v>90</v>
      </c>
      <c r="H34" s="939">
        <v>90</v>
      </c>
      <c r="I34" s="938">
        <v>91</v>
      </c>
      <c r="J34" s="938">
        <v>91</v>
      </c>
      <c r="K34" s="940">
        <v>112.232</v>
      </c>
      <c r="M34" s="601"/>
    </row>
    <row r="35" spans="2:15" ht="19.149999999999999" customHeight="1">
      <c r="B35" s="959"/>
      <c r="C35" s="960"/>
      <c r="D35" s="961"/>
      <c r="E35" s="962" t="s">
        <v>684</v>
      </c>
      <c r="F35" s="963" t="s">
        <v>500</v>
      </c>
      <c r="G35" s="964">
        <f>SUM(G25:G34)</f>
        <v>3473</v>
      </c>
      <c r="H35" s="965">
        <f>SUM(H25:H34)</f>
        <v>2999</v>
      </c>
      <c r="I35" s="964">
        <f>SUM(I25:I34)</f>
        <v>3350</v>
      </c>
      <c r="J35" s="964">
        <f>SUM(J25:J34)</f>
        <v>3350</v>
      </c>
      <c r="K35" s="966">
        <f>SUM(K25:K34)</f>
        <v>2120.0446100000004</v>
      </c>
      <c r="L35" s="216"/>
      <c r="M35" s="601"/>
    </row>
    <row r="36" spans="2:15" ht="19.149999999999999" customHeight="1">
      <c r="B36" s="922"/>
      <c r="C36" s="932"/>
      <c r="D36" s="924"/>
      <c r="E36" s="925" t="s">
        <v>501</v>
      </c>
      <c r="F36" s="926" t="s">
        <v>1141</v>
      </c>
      <c r="G36" s="927"/>
      <c r="H36" s="930"/>
      <c r="I36" s="927"/>
      <c r="J36" s="927"/>
      <c r="K36" s="957"/>
      <c r="L36" s="216"/>
      <c r="M36" s="601"/>
    </row>
    <row r="37" spans="2:15" ht="19.149999999999999" customHeight="1">
      <c r="B37" s="934" t="s">
        <v>1141</v>
      </c>
      <c r="C37" s="935">
        <v>9</v>
      </c>
      <c r="D37" s="936">
        <v>220</v>
      </c>
      <c r="E37" s="937">
        <v>222700</v>
      </c>
      <c r="F37" s="101" t="s">
        <v>231</v>
      </c>
      <c r="G37" s="938">
        <v>0</v>
      </c>
      <c r="H37" s="939">
        <v>7</v>
      </c>
      <c r="I37" s="938">
        <v>0</v>
      </c>
      <c r="J37" s="938">
        <v>0</v>
      </c>
      <c r="K37" s="940">
        <v>19.129150000000003</v>
      </c>
      <c r="M37" s="601"/>
    </row>
    <row r="38" spans="2:15" ht="19.149999999999999" customHeight="1">
      <c r="B38" s="934" t="s">
        <v>1141</v>
      </c>
      <c r="C38" s="935">
        <v>9</v>
      </c>
      <c r="D38" s="936">
        <v>998</v>
      </c>
      <c r="E38" s="937">
        <v>222700</v>
      </c>
      <c r="F38" s="101" t="s">
        <v>2087</v>
      </c>
      <c r="G38" s="938">
        <v>0</v>
      </c>
      <c r="H38" s="939">
        <v>50</v>
      </c>
      <c r="I38" s="938">
        <v>0</v>
      </c>
      <c r="J38" s="938">
        <v>0</v>
      </c>
      <c r="K38" s="940">
        <v>50</v>
      </c>
      <c r="M38" s="601"/>
    </row>
    <row r="39" spans="2:15" ht="22.9" customHeight="1">
      <c r="B39" s="975" t="s">
        <v>2159</v>
      </c>
      <c r="C39" s="935">
        <v>7</v>
      </c>
      <c r="D39" s="936">
        <v>910</v>
      </c>
      <c r="E39" s="937">
        <v>229999</v>
      </c>
      <c r="F39" s="1087" t="s">
        <v>2160</v>
      </c>
      <c r="G39" s="938">
        <v>0</v>
      </c>
      <c r="H39" s="939">
        <v>320</v>
      </c>
      <c r="I39" s="938">
        <v>320</v>
      </c>
      <c r="J39" s="938">
        <v>0</v>
      </c>
      <c r="K39" s="940">
        <v>0</v>
      </c>
      <c r="M39" s="601"/>
    </row>
    <row r="40" spans="2:15" ht="19.149999999999999" customHeight="1">
      <c r="B40" s="959"/>
      <c r="C40" s="976"/>
      <c r="D40" s="961"/>
      <c r="E40" s="962" t="s">
        <v>501</v>
      </c>
      <c r="F40" s="963" t="s">
        <v>407</v>
      </c>
      <c r="G40" s="964">
        <f>SUM(G37:G39)</f>
        <v>0</v>
      </c>
      <c r="H40" s="964">
        <f>SUM(H37:H39)</f>
        <v>377</v>
      </c>
      <c r="I40" s="964">
        <f>SUM(I37:I39)</f>
        <v>320</v>
      </c>
      <c r="J40" s="964">
        <f>SUM(J37:J39)</f>
        <v>0</v>
      </c>
      <c r="K40" s="966">
        <f>SUM(K37:K39)</f>
        <v>69.12915000000001</v>
      </c>
      <c r="L40" s="216"/>
      <c r="M40" s="601"/>
    </row>
    <row r="41" spans="2:15" ht="19.149999999999999" customHeight="1">
      <c r="B41" s="922"/>
      <c r="C41" s="977"/>
      <c r="D41" s="924"/>
      <c r="E41" s="925" t="s">
        <v>1002</v>
      </c>
      <c r="F41" s="978" t="s">
        <v>568</v>
      </c>
      <c r="G41" s="927"/>
      <c r="H41" s="930"/>
      <c r="I41" s="927"/>
      <c r="J41" s="927"/>
      <c r="K41" s="957"/>
      <c r="L41" s="216"/>
      <c r="M41" s="601"/>
    </row>
    <row r="42" spans="2:15" ht="19.149999999999999" customHeight="1">
      <c r="B42" s="934" t="s">
        <v>568</v>
      </c>
      <c r="C42" s="1083">
        <v>1</v>
      </c>
      <c r="D42" s="936">
        <v>280</v>
      </c>
      <c r="E42" s="937">
        <v>230000</v>
      </c>
      <c r="F42" s="101" t="s">
        <v>2148</v>
      </c>
      <c r="G42" s="938">
        <v>15</v>
      </c>
      <c r="H42" s="939">
        <v>15</v>
      </c>
      <c r="I42" s="938">
        <v>0</v>
      </c>
      <c r="J42" s="938">
        <v>0</v>
      </c>
      <c r="K42" s="940">
        <v>87.727490000000003</v>
      </c>
      <c r="L42" s="545"/>
      <c r="M42" s="601"/>
      <c r="N42" s="1084"/>
      <c r="O42" s="605"/>
    </row>
    <row r="43" spans="2:15" ht="19.149999999999999" customHeight="1">
      <c r="B43" s="934" t="s">
        <v>568</v>
      </c>
      <c r="C43" s="935">
        <v>4</v>
      </c>
      <c r="D43" s="936">
        <v>281</v>
      </c>
      <c r="E43" s="937">
        <v>230000</v>
      </c>
      <c r="F43" s="101" t="s">
        <v>2088</v>
      </c>
      <c r="G43" s="938">
        <v>1000</v>
      </c>
      <c r="H43" s="939">
        <v>0</v>
      </c>
      <c r="I43" s="938">
        <v>0</v>
      </c>
      <c r="J43" s="938">
        <v>0</v>
      </c>
      <c r="K43" s="940">
        <v>0</v>
      </c>
      <c r="L43" s="545"/>
      <c r="M43" s="601"/>
    </row>
    <row r="44" spans="2:15" ht="19.149999999999999" customHeight="1">
      <c r="B44" s="934" t="s">
        <v>568</v>
      </c>
      <c r="C44" s="935">
        <v>4</v>
      </c>
      <c r="D44" s="936">
        <v>442</v>
      </c>
      <c r="E44" s="937">
        <v>230000</v>
      </c>
      <c r="F44" s="101" t="s">
        <v>747</v>
      </c>
      <c r="G44" s="938">
        <v>450</v>
      </c>
      <c r="H44" s="939">
        <v>450</v>
      </c>
      <c r="I44" s="938">
        <v>450</v>
      </c>
      <c r="J44" s="938">
        <v>450</v>
      </c>
      <c r="K44" s="940">
        <v>0</v>
      </c>
      <c r="L44" s="545"/>
      <c r="M44" s="601"/>
    </row>
    <row r="45" spans="2:15" ht="19.149999999999999" customHeight="1">
      <c r="B45" s="934" t="s">
        <v>568</v>
      </c>
      <c r="C45" s="935">
        <v>4</v>
      </c>
      <c r="D45" s="936">
        <v>590</v>
      </c>
      <c r="E45" s="937">
        <v>230000</v>
      </c>
      <c r="F45" s="101" t="s">
        <v>1220</v>
      </c>
      <c r="G45" s="938">
        <v>9956</v>
      </c>
      <c r="H45" s="939">
        <v>11723</v>
      </c>
      <c r="I45" s="938">
        <v>9030</v>
      </c>
      <c r="J45" s="938">
        <v>9030</v>
      </c>
      <c r="K45" s="940">
        <v>-2.9999999999999997E-5</v>
      </c>
      <c r="L45" s="545"/>
      <c r="M45" s="601"/>
    </row>
    <row r="46" spans="2:15" ht="28">
      <c r="B46" s="934" t="s">
        <v>568</v>
      </c>
      <c r="C46" s="935">
        <v>4</v>
      </c>
      <c r="D46" s="936">
        <v>591</v>
      </c>
      <c r="E46" s="937">
        <v>230000</v>
      </c>
      <c r="F46" s="958" t="s">
        <v>1221</v>
      </c>
      <c r="G46" s="938">
        <v>3500</v>
      </c>
      <c r="H46" s="939">
        <v>3000</v>
      </c>
      <c r="I46" s="938">
        <v>3500</v>
      </c>
      <c r="J46" s="938">
        <v>3500</v>
      </c>
      <c r="K46" s="940">
        <v>3817.6797700000002</v>
      </c>
      <c r="L46" s="545"/>
      <c r="M46" s="601"/>
    </row>
    <row r="47" spans="2:15" ht="28">
      <c r="B47" s="934" t="s">
        <v>568</v>
      </c>
      <c r="C47" s="935">
        <v>1</v>
      </c>
      <c r="D47" s="936">
        <v>592</v>
      </c>
      <c r="E47" s="937">
        <v>230000</v>
      </c>
      <c r="F47" s="958" t="s">
        <v>2323</v>
      </c>
      <c r="G47" s="938">
        <v>2000</v>
      </c>
      <c r="H47" s="939">
        <v>2250</v>
      </c>
      <c r="I47" s="938">
        <v>2000</v>
      </c>
      <c r="J47" s="938">
        <v>2000</v>
      </c>
      <c r="K47" s="940">
        <v>1826.6379999999999</v>
      </c>
      <c r="L47" s="545"/>
      <c r="M47" s="601"/>
    </row>
    <row r="48" spans="2:15" ht="19.149999999999999" customHeight="1">
      <c r="B48" s="934" t="s">
        <v>568</v>
      </c>
      <c r="C48" s="935">
        <v>4</v>
      </c>
      <c r="D48" s="936">
        <v>910</v>
      </c>
      <c r="E48" s="937">
        <v>230000</v>
      </c>
      <c r="F48" s="958" t="s">
        <v>1581</v>
      </c>
      <c r="G48" s="938">
        <v>0</v>
      </c>
      <c r="H48" s="939">
        <v>0</v>
      </c>
      <c r="I48" s="938">
        <v>0</v>
      </c>
      <c r="J48" s="938">
        <v>0</v>
      </c>
      <c r="K48" s="940">
        <v>3087.9589999999998</v>
      </c>
      <c r="L48" s="216"/>
      <c r="M48" s="601"/>
    </row>
    <row r="49" spans="2:13" ht="19.149999999999999" customHeight="1">
      <c r="B49" s="934" t="s">
        <v>568</v>
      </c>
      <c r="C49" s="935">
        <v>4</v>
      </c>
      <c r="D49" s="936">
        <v>420</v>
      </c>
      <c r="E49" s="937">
        <v>232000</v>
      </c>
      <c r="F49" s="958" t="s">
        <v>1235</v>
      </c>
      <c r="G49" s="938">
        <v>5</v>
      </c>
      <c r="H49" s="939">
        <v>0</v>
      </c>
      <c r="I49" s="938">
        <v>5</v>
      </c>
      <c r="J49" s="938">
        <v>5</v>
      </c>
      <c r="K49" s="940">
        <v>0</v>
      </c>
      <c r="L49" s="545"/>
      <c r="M49" s="601"/>
    </row>
    <row r="50" spans="2:13" ht="19.149999999999999" customHeight="1">
      <c r="B50" s="934" t="s">
        <v>568</v>
      </c>
      <c r="C50" s="935">
        <v>4</v>
      </c>
      <c r="D50" s="936">
        <v>980</v>
      </c>
      <c r="E50" s="937">
        <v>232200</v>
      </c>
      <c r="F50" s="958" t="s">
        <v>1948</v>
      </c>
      <c r="G50" s="938">
        <v>616</v>
      </c>
      <c r="H50" s="939">
        <v>434</v>
      </c>
      <c r="I50" s="938">
        <v>563</v>
      </c>
      <c r="J50" s="938">
        <v>616</v>
      </c>
      <c r="K50" s="940">
        <v>71.766000000000005</v>
      </c>
      <c r="L50" s="545"/>
      <c r="M50" s="601"/>
    </row>
    <row r="51" spans="2:13" ht="19.149999999999999" customHeight="1">
      <c r="B51" s="934" t="s">
        <v>568</v>
      </c>
      <c r="C51" s="976">
        <v>4</v>
      </c>
      <c r="D51" s="936">
        <v>220</v>
      </c>
      <c r="E51" s="937">
        <v>233100</v>
      </c>
      <c r="F51" s="101" t="s">
        <v>1020</v>
      </c>
      <c r="G51" s="938">
        <v>10500</v>
      </c>
      <c r="H51" s="939">
        <v>8000</v>
      </c>
      <c r="I51" s="938">
        <v>13300</v>
      </c>
      <c r="J51" s="938">
        <v>13300</v>
      </c>
      <c r="K51" s="979">
        <v>13001.563840000001</v>
      </c>
      <c r="L51" s="545"/>
      <c r="M51" s="601"/>
    </row>
    <row r="52" spans="2:13" ht="19.149999999999999" customHeight="1">
      <c r="B52" s="959"/>
      <c r="C52" s="976"/>
      <c r="D52" s="961"/>
      <c r="E52" s="962" t="s">
        <v>1002</v>
      </c>
      <c r="F52" s="963" t="s">
        <v>873</v>
      </c>
      <c r="G52" s="964">
        <f>SUM(G42:G51)</f>
        <v>28042</v>
      </c>
      <c r="H52" s="965">
        <f>SUM(H42:H51)</f>
        <v>25872</v>
      </c>
      <c r="I52" s="964">
        <f>SUM(I42:I51)</f>
        <v>28848</v>
      </c>
      <c r="J52" s="964">
        <f>SUM(J42:J51)</f>
        <v>28901</v>
      </c>
      <c r="K52" s="966">
        <f>SUM(K42:K51)</f>
        <v>21893.334069999997</v>
      </c>
      <c r="L52" s="216"/>
      <c r="M52" s="601"/>
    </row>
    <row r="53" spans="2:13" ht="19.149999999999999" customHeight="1">
      <c r="B53" s="922"/>
      <c r="C53" s="977"/>
      <c r="D53" s="924"/>
      <c r="E53" s="925" t="s">
        <v>874</v>
      </c>
      <c r="F53" s="926" t="s">
        <v>704</v>
      </c>
      <c r="G53" s="927"/>
      <c r="H53" s="930"/>
      <c r="I53" s="927"/>
      <c r="J53" s="927"/>
      <c r="K53" s="957"/>
      <c r="L53" s="216"/>
      <c r="M53" s="601"/>
    </row>
    <row r="54" spans="2:13" ht="19.149999999999999" customHeight="1">
      <c r="B54" s="922"/>
      <c r="C54" s="977"/>
      <c r="D54" s="924"/>
      <c r="E54" s="925" t="s">
        <v>545</v>
      </c>
      <c r="F54" s="926" t="s">
        <v>1038</v>
      </c>
      <c r="G54" s="927"/>
      <c r="H54" s="930"/>
      <c r="I54" s="927"/>
      <c r="J54" s="927"/>
      <c r="K54" s="957"/>
      <c r="L54" s="216"/>
      <c r="M54" s="601"/>
    </row>
    <row r="55" spans="2:13" ht="24.75" customHeight="1">
      <c r="B55" s="934" t="s">
        <v>1038</v>
      </c>
      <c r="C55" s="935">
        <v>5</v>
      </c>
      <c r="D55" s="936">
        <v>991</v>
      </c>
      <c r="E55" s="937">
        <v>244300</v>
      </c>
      <c r="F55" s="958" t="s">
        <v>998</v>
      </c>
      <c r="G55" s="938">
        <v>0</v>
      </c>
      <c r="H55" s="939">
        <v>0</v>
      </c>
      <c r="I55" s="938">
        <v>50</v>
      </c>
      <c r="J55" s="938">
        <v>50</v>
      </c>
      <c r="K55" s="940">
        <v>0</v>
      </c>
      <c r="L55" s="545"/>
      <c r="M55" s="601"/>
    </row>
    <row r="56" spans="2:13" ht="19.149999999999999" customHeight="1">
      <c r="B56" s="949"/>
      <c r="C56" s="976"/>
      <c r="D56" s="951"/>
      <c r="E56" s="952" t="s">
        <v>545</v>
      </c>
      <c r="F56" s="953" t="s">
        <v>883</v>
      </c>
      <c r="G56" s="954">
        <f>SUM(G54:G55)</f>
        <v>0</v>
      </c>
      <c r="H56" s="955">
        <f>SUM(H54:H55)</f>
        <v>0</v>
      </c>
      <c r="I56" s="954">
        <f>SUM(I54:I55)</f>
        <v>50</v>
      </c>
      <c r="J56" s="954">
        <f>SUM(J54:J55)</f>
        <v>50</v>
      </c>
      <c r="K56" s="956">
        <f>SUM(K54:K55)</f>
        <v>0</v>
      </c>
      <c r="L56" s="216"/>
      <c r="M56" s="601"/>
    </row>
    <row r="57" spans="2:13" ht="19.149999999999999" customHeight="1">
      <c r="B57" s="922"/>
      <c r="C57" s="932"/>
      <c r="D57" s="924"/>
      <c r="E57" s="925" t="s">
        <v>884</v>
      </c>
      <c r="F57" s="926" t="s">
        <v>885</v>
      </c>
      <c r="G57" s="927"/>
      <c r="H57" s="930"/>
      <c r="I57" s="927"/>
      <c r="J57" s="927"/>
      <c r="K57" s="957"/>
      <c r="L57" s="216"/>
      <c r="M57" s="601"/>
    </row>
    <row r="58" spans="2:13" ht="19.149999999999999" customHeight="1">
      <c r="B58" s="934" t="s">
        <v>885</v>
      </c>
      <c r="C58" s="935">
        <v>2</v>
      </c>
      <c r="D58" s="936">
        <v>220</v>
      </c>
      <c r="E58" s="937">
        <v>247200</v>
      </c>
      <c r="F58" s="980" t="s">
        <v>2092</v>
      </c>
      <c r="G58" s="938">
        <v>240</v>
      </c>
      <c r="H58" s="939">
        <v>0</v>
      </c>
      <c r="I58" s="938">
        <v>400</v>
      </c>
      <c r="J58" s="938">
        <v>400</v>
      </c>
      <c r="K58" s="940">
        <v>309.67599999999999</v>
      </c>
      <c r="M58" s="601"/>
    </row>
    <row r="59" spans="2:13" ht="19.149999999999999" customHeight="1">
      <c r="B59" s="934" t="s">
        <v>885</v>
      </c>
      <c r="C59" s="935">
        <v>6</v>
      </c>
      <c r="D59" s="936">
        <v>491</v>
      </c>
      <c r="E59" s="937">
        <v>247200</v>
      </c>
      <c r="F59" s="981" t="s">
        <v>1291</v>
      </c>
      <c r="G59" s="938">
        <v>120</v>
      </c>
      <c r="H59" s="939">
        <v>120</v>
      </c>
      <c r="I59" s="938">
        <v>70</v>
      </c>
      <c r="J59" s="938">
        <v>70</v>
      </c>
      <c r="K59" s="940">
        <v>0</v>
      </c>
      <c r="M59" s="601"/>
    </row>
    <row r="60" spans="2:13" ht="19.149999999999999" customHeight="1">
      <c r="B60" s="949"/>
      <c r="C60" s="950"/>
      <c r="D60" s="951"/>
      <c r="E60" s="952" t="s">
        <v>884</v>
      </c>
      <c r="F60" s="953" t="s">
        <v>433</v>
      </c>
      <c r="G60" s="954">
        <f>SUM(G57:G59)</f>
        <v>360</v>
      </c>
      <c r="H60" s="955">
        <f>SUM(H57:H59)</f>
        <v>120</v>
      </c>
      <c r="I60" s="954">
        <f>SUM(I57:I59)</f>
        <v>470</v>
      </c>
      <c r="J60" s="954">
        <f>SUM(J57:J59)</f>
        <v>470</v>
      </c>
      <c r="K60" s="956">
        <f>SUM(K57:K59)</f>
        <v>309.67599999999999</v>
      </c>
      <c r="L60" s="216"/>
      <c r="M60" s="601"/>
    </row>
    <row r="61" spans="2:13" ht="19.149999999999999" customHeight="1">
      <c r="B61" s="982"/>
      <c r="C61" s="983"/>
      <c r="D61" s="984"/>
      <c r="E61" s="985" t="s">
        <v>874</v>
      </c>
      <c r="F61" s="986" t="s">
        <v>916</v>
      </c>
      <c r="G61" s="987">
        <f>SUMIF($E$53:$E$60,"*.",G53:G60)</f>
        <v>360</v>
      </c>
      <c r="H61" s="988">
        <f>SUMIF($E$53:$E$60,"*.",H53:H60)</f>
        <v>120</v>
      </c>
      <c r="I61" s="987">
        <f>SUMIF($E$53:$E$60,"*.",I53:I60)</f>
        <v>520</v>
      </c>
      <c r="J61" s="987">
        <f>SUMIF($E$53:$E$60,"*.",J53:J60)</f>
        <v>520</v>
      </c>
      <c r="K61" s="989">
        <f>SUMIF($E$53:$E$60,"*.",K53:K60)</f>
        <v>309.67599999999999</v>
      </c>
      <c r="L61" s="216"/>
      <c r="M61" s="601"/>
    </row>
    <row r="62" spans="2:13" ht="19.149999999999999" customHeight="1">
      <c r="B62" s="922"/>
      <c r="C62" s="932"/>
      <c r="D62" s="924"/>
      <c r="E62" s="925" t="s">
        <v>917</v>
      </c>
      <c r="F62" s="926" t="s">
        <v>122</v>
      </c>
      <c r="G62" s="927"/>
      <c r="H62" s="930"/>
      <c r="I62" s="927"/>
      <c r="J62" s="927"/>
      <c r="K62" s="957"/>
      <c r="L62" s="216"/>
      <c r="M62" s="601"/>
    </row>
    <row r="63" spans="2:13" ht="19.149999999999999" customHeight="1">
      <c r="B63" s="934" t="s">
        <v>356</v>
      </c>
      <c r="C63" s="935">
        <v>2</v>
      </c>
      <c r="D63" s="936">
        <v>420</v>
      </c>
      <c r="E63" s="937">
        <v>261000</v>
      </c>
      <c r="F63" s="101" t="s">
        <v>378</v>
      </c>
      <c r="G63" s="938">
        <v>240</v>
      </c>
      <c r="H63" s="939">
        <v>240</v>
      </c>
      <c r="I63" s="938">
        <v>240</v>
      </c>
      <c r="J63" s="938">
        <v>240</v>
      </c>
      <c r="K63" s="940">
        <v>240.02500000000001</v>
      </c>
      <c r="M63" s="601"/>
    </row>
    <row r="64" spans="2:13" ht="19.149999999999999" customHeight="1">
      <c r="B64" s="934" t="s">
        <v>122</v>
      </c>
      <c r="C64" s="935">
        <v>2</v>
      </c>
      <c r="D64" s="936">
        <v>421</v>
      </c>
      <c r="E64" s="937">
        <v>261000</v>
      </c>
      <c r="F64" s="958" t="s">
        <v>1747</v>
      </c>
      <c r="G64" s="938">
        <v>186</v>
      </c>
      <c r="H64" s="939">
        <v>186</v>
      </c>
      <c r="I64" s="938">
        <v>186</v>
      </c>
      <c r="J64" s="938">
        <v>186</v>
      </c>
      <c r="K64" s="940">
        <v>185.91499999999999</v>
      </c>
      <c r="M64" s="601"/>
    </row>
    <row r="65" spans="2:13" ht="18.75" customHeight="1">
      <c r="B65" s="934" t="s">
        <v>122</v>
      </c>
      <c r="C65" s="935">
        <v>5</v>
      </c>
      <c r="D65" s="936">
        <v>420</v>
      </c>
      <c r="E65" s="937">
        <v>269000</v>
      </c>
      <c r="F65" s="980" t="s">
        <v>2093</v>
      </c>
      <c r="G65" s="938">
        <v>60</v>
      </c>
      <c r="H65" s="939">
        <v>60</v>
      </c>
      <c r="I65" s="938">
        <v>85</v>
      </c>
      <c r="J65" s="938">
        <v>85</v>
      </c>
      <c r="K65" s="940">
        <v>56.732999999999997</v>
      </c>
      <c r="L65" s="545"/>
      <c r="M65" s="601"/>
    </row>
    <row r="66" spans="2:13" ht="19.149999999999999" customHeight="1">
      <c r="B66" s="934" t="s">
        <v>122</v>
      </c>
      <c r="C66" s="935">
        <v>4</v>
      </c>
      <c r="D66" s="936">
        <v>490</v>
      </c>
      <c r="E66" s="937">
        <v>269000</v>
      </c>
      <c r="F66" s="958" t="s">
        <v>1780</v>
      </c>
      <c r="G66" s="938">
        <v>170</v>
      </c>
      <c r="H66" s="939">
        <v>170</v>
      </c>
      <c r="I66" s="938">
        <v>120</v>
      </c>
      <c r="J66" s="938">
        <v>120</v>
      </c>
      <c r="K66" s="940">
        <v>165.50399999999999</v>
      </c>
      <c r="L66" s="545"/>
      <c r="M66" s="601"/>
    </row>
    <row r="67" spans="2:13" ht="14">
      <c r="B67" s="934" t="s">
        <v>122</v>
      </c>
      <c r="C67" s="935">
        <v>5</v>
      </c>
      <c r="D67" s="936">
        <v>620</v>
      </c>
      <c r="E67" s="937">
        <v>269000</v>
      </c>
      <c r="F67" s="101" t="s">
        <v>589</v>
      </c>
      <c r="G67" s="938">
        <v>30</v>
      </c>
      <c r="H67" s="939">
        <v>11</v>
      </c>
      <c r="I67" s="938">
        <v>30</v>
      </c>
      <c r="J67" s="938">
        <v>30</v>
      </c>
      <c r="K67" s="940">
        <v>36.896999999999998</v>
      </c>
      <c r="L67" s="545"/>
      <c r="M67" s="601"/>
    </row>
    <row r="68" spans="2:13" ht="19.149999999999999" customHeight="1">
      <c r="B68" s="934" t="s">
        <v>122</v>
      </c>
      <c r="C68" s="935">
        <v>7</v>
      </c>
      <c r="D68" s="936">
        <v>791</v>
      </c>
      <c r="E68" s="937">
        <v>269000</v>
      </c>
      <c r="F68" s="101" t="s">
        <v>1733</v>
      </c>
      <c r="G68" s="938">
        <v>0</v>
      </c>
      <c r="H68" s="939">
        <v>0</v>
      </c>
      <c r="I68" s="938">
        <v>0</v>
      </c>
      <c r="J68" s="938">
        <v>0</v>
      </c>
      <c r="K68" s="940">
        <v>22</v>
      </c>
      <c r="L68" s="545"/>
      <c r="M68" s="601"/>
    </row>
    <row r="69" spans="2:13" ht="28">
      <c r="B69" s="934" t="s">
        <v>1273</v>
      </c>
      <c r="C69" s="935">
        <v>82</v>
      </c>
      <c r="D69" s="936">
        <v>420</v>
      </c>
      <c r="E69" s="937">
        <v>269200</v>
      </c>
      <c r="F69" s="958" t="s">
        <v>1422</v>
      </c>
      <c r="G69" s="938">
        <v>65</v>
      </c>
      <c r="H69" s="939">
        <v>20</v>
      </c>
      <c r="I69" s="938">
        <v>65</v>
      </c>
      <c r="J69" s="938">
        <v>65</v>
      </c>
      <c r="K69" s="940">
        <v>68.840249999999997</v>
      </c>
      <c r="M69" s="601"/>
    </row>
    <row r="70" spans="2:13" ht="19.149999999999999" customHeight="1">
      <c r="B70" s="934" t="s">
        <v>2090</v>
      </c>
      <c r="C70" s="935">
        <v>10</v>
      </c>
      <c r="D70" s="936">
        <v>421</v>
      </c>
      <c r="E70" s="937">
        <v>269200</v>
      </c>
      <c r="F70" s="958" t="s">
        <v>2089</v>
      </c>
      <c r="G70" s="938">
        <v>14</v>
      </c>
      <c r="H70" s="939">
        <v>5</v>
      </c>
      <c r="I70" s="938">
        <v>0</v>
      </c>
      <c r="J70" s="938">
        <v>0</v>
      </c>
      <c r="K70" s="940">
        <v>0</v>
      </c>
      <c r="M70" s="601"/>
    </row>
    <row r="71" spans="2:13" ht="14">
      <c r="B71" s="982"/>
      <c r="C71" s="983"/>
      <c r="D71" s="984"/>
      <c r="E71" s="985" t="s">
        <v>917</v>
      </c>
      <c r="F71" s="986" t="s">
        <v>1128</v>
      </c>
      <c r="G71" s="987">
        <f>SUM(G63:G70)</f>
        <v>765</v>
      </c>
      <c r="H71" s="988">
        <f>SUM(H63:H70)</f>
        <v>692</v>
      </c>
      <c r="I71" s="987">
        <f>SUM(I63:I70)</f>
        <v>726</v>
      </c>
      <c r="J71" s="987">
        <f>SUM(J63:J70)</f>
        <v>726</v>
      </c>
      <c r="K71" s="989">
        <f>SUM(K63:K70)</f>
        <v>775.91425000000004</v>
      </c>
      <c r="L71" s="216"/>
      <c r="M71" s="601"/>
    </row>
    <row r="72" spans="2:13" ht="19.149999999999999" customHeight="1">
      <c r="B72" s="922"/>
      <c r="C72" s="932"/>
      <c r="D72" s="924"/>
      <c r="E72" s="925" t="s">
        <v>1129</v>
      </c>
      <c r="F72" s="926" t="s">
        <v>1130</v>
      </c>
      <c r="G72" s="927"/>
      <c r="H72" s="930"/>
      <c r="I72" s="927"/>
      <c r="J72" s="927"/>
      <c r="K72" s="957"/>
      <c r="L72" s="216"/>
      <c r="M72" s="601"/>
    </row>
    <row r="73" spans="2:13" ht="19.149999999999999" customHeight="1">
      <c r="B73" s="934" t="s">
        <v>1130</v>
      </c>
      <c r="C73" s="935">
        <v>9</v>
      </c>
      <c r="D73" s="936">
        <v>280</v>
      </c>
      <c r="E73" s="937">
        <v>281000</v>
      </c>
      <c r="F73" s="101" t="s">
        <v>2094</v>
      </c>
      <c r="G73" s="938">
        <v>1650</v>
      </c>
      <c r="H73" s="939">
        <v>1650</v>
      </c>
      <c r="I73" s="938">
        <v>1650</v>
      </c>
      <c r="J73" s="938">
        <v>1650</v>
      </c>
      <c r="K73" s="940">
        <v>2094.9523799999997</v>
      </c>
      <c r="M73" s="601"/>
    </row>
    <row r="74" spans="2:13" ht="28">
      <c r="B74" s="934" t="s">
        <v>1130</v>
      </c>
      <c r="C74" s="935">
        <v>9</v>
      </c>
      <c r="D74" s="936">
        <v>420</v>
      </c>
      <c r="E74" s="937">
        <v>281000</v>
      </c>
      <c r="F74" s="958" t="s">
        <v>2199</v>
      </c>
      <c r="G74" s="938">
        <v>200</v>
      </c>
      <c r="H74" s="939">
        <v>0</v>
      </c>
      <c r="I74" s="938">
        <v>200</v>
      </c>
      <c r="J74" s="938">
        <v>200</v>
      </c>
      <c r="K74" s="940">
        <v>17</v>
      </c>
      <c r="M74" s="601"/>
    </row>
    <row r="75" spans="2:13" ht="14">
      <c r="B75" s="934" t="s">
        <v>1130</v>
      </c>
      <c r="C75" s="935">
        <v>9</v>
      </c>
      <c r="D75" s="936">
        <v>910</v>
      </c>
      <c r="E75" s="937">
        <v>281000</v>
      </c>
      <c r="F75" s="958" t="s">
        <v>2153</v>
      </c>
      <c r="G75" s="938">
        <v>0</v>
      </c>
      <c r="H75" s="939">
        <v>5</v>
      </c>
      <c r="I75" s="938">
        <v>5</v>
      </c>
      <c r="J75" s="938">
        <v>0</v>
      </c>
      <c r="K75" s="940">
        <v>0</v>
      </c>
      <c r="M75" s="601"/>
    </row>
    <row r="76" spans="2:13" ht="19.149999999999999" customHeight="1">
      <c r="B76" s="934" t="s">
        <v>1130</v>
      </c>
      <c r="C76" s="935">
        <v>1</v>
      </c>
      <c r="D76" s="936">
        <v>280</v>
      </c>
      <c r="E76" s="937">
        <v>282000</v>
      </c>
      <c r="F76" s="101" t="s">
        <v>515</v>
      </c>
      <c r="G76" s="938">
        <v>600</v>
      </c>
      <c r="H76" s="939">
        <v>300</v>
      </c>
      <c r="I76" s="938">
        <v>600</v>
      </c>
      <c r="J76" s="938">
        <v>600</v>
      </c>
      <c r="K76" s="940">
        <v>655.87430000000006</v>
      </c>
      <c r="M76" s="601"/>
    </row>
    <row r="77" spans="2:13" ht="19.149999999999999" customHeight="1">
      <c r="B77" s="982"/>
      <c r="C77" s="983"/>
      <c r="D77" s="984"/>
      <c r="E77" s="985" t="s">
        <v>1129</v>
      </c>
      <c r="F77" s="990" t="s">
        <v>971</v>
      </c>
      <c r="G77" s="987">
        <f>SUM(G73:G76)</f>
        <v>2450</v>
      </c>
      <c r="H77" s="988">
        <f>SUM(H73:H76)</f>
        <v>1955</v>
      </c>
      <c r="I77" s="987">
        <f>SUM(I73:I76)</f>
        <v>2455</v>
      </c>
      <c r="J77" s="987">
        <f>SUM(J73:J76)</f>
        <v>2450</v>
      </c>
      <c r="K77" s="989">
        <f>SUM(K73:K76)</f>
        <v>2767.8266799999997</v>
      </c>
      <c r="L77" s="216"/>
      <c r="M77" s="601"/>
    </row>
    <row r="78" spans="2:13" ht="19.149999999999999" customHeight="1">
      <c r="B78" s="922"/>
      <c r="C78" s="932"/>
      <c r="D78" s="924"/>
      <c r="E78" s="925" t="s">
        <v>972</v>
      </c>
      <c r="F78" s="926" t="s">
        <v>1135</v>
      </c>
      <c r="G78" s="927"/>
      <c r="H78" s="930"/>
      <c r="I78" s="927"/>
      <c r="J78" s="927"/>
      <c r="K78" s="957"/>
      <c r="L78" s="216"/>
      <c r="M78" s="601"/>
    </row>
    <row r="79" spans="2:13" ht="19.149999999999999" customHeight="1">
      <c r="B79" s="949" t="s">
        <v>1135</v>
      </c>
      <c r="C79" s="976">
        <v>2</v>
      </c>
      <c r="D79" s="951">
        <v>100</v>
      </c>
      <c r="E79" s="991">
        <v>291000</v>
      </c>
      <c r="F79" s="992" t="s">
        <v>825</v>
      </c>
      <c r="G79" s="993">
        <v>40</v>
      </c>
      <c r="H79" s="994">
        <v>40</v>
      </c>
      <c r="I79" s="993">
        <v>105</v>
      </c>
      <c r="J79" s="993">
        <v>105</v>
      </c>
      <c r="K79" s="995">
        <v>180.244</v>
      </c>
      <c r="M79" s="601"/>
    </row>
    <row r="80" spans="2:13" ht="19.149999999999999" customHeight="1">
      <c r="B80" s="982"/>
      <c r="C80" s="983"/>
      <c r="D80" s="984"/>
      <c r="E80" s="985" t="s">
        <v>972</v>
      </c>
      <c r="F80" s="986" t="s">
        <v>405</v>
      </c>
      <c r="G80" s="987">
        <f>SUM(G78:G79)</f>
        <v>40</v>
      </c>
      <c r="H80" s="988">
        <f>SUM(H78:H79)</f>
        <v>40</v>
      </c>
      <c r="I80" s="987">
        <f>SUM(I78:I79)</f>
        <v>105</v>
      </c>
      <c r="J80" s="987">
        <f>SUM(J78:J79)</f>
        <v>105</v>
      </c>
      <c r="K80" s="989">
        <f>SUM(K78:K79)</f>
        <v>180.244</v>
      </c>
      <c r="L80" s="216"/>
      <c r="M80" s="601"/>
    </row>
    <row r="81" spans="2:13" ht="19.149999999999999" customHeight="1" thickBot="1">
      <c r="B81" s="967"/>
      <c r="C81" s="968"/>
      <c r="D81" s="969"/>
      <c r="E81" s="970" t="s">
        <v>161</v>
      </c>
      <c r="F81" s="971" t="s">
        <v>796</v>
      </c>
      <c r="G81" s="972">
        <f>SUMIF($E$23:$E$80,"??.",G23:G80)</f>
        <v>35130</v>
      </c>
      <c r="H81" s="973">
        <f>SUMIF($E$23:$E$80,"??.",H23:H80)</f>
        <v>32055</v>
      </c>
      <c r="I81" s="972">
        <f>SUMIF($E$23:$E$80,"??.",I23:I80)</f>
        <v>36324</v>
      </c>
      <c r="J81" s="972">
        <f>SUMIF($E$23:$E$80,"??.",J23:J80)</f>
        <v>36052</v>
      </c>
      <c r="K81" s="996">
        <f>SUMIF($E$23:$E$80,"??.",K23:K80)</f>
        <v>28116.168759999997</v>
      </c>
      <c r="L81" s="216"/>
      <c r="M81" s="601"/>
    </row>
    <row r="82" spans="2:13" ht="14.5" thickTop="1">
      <c r="B82" s="922"/>
      <c r="C82" s="932"/>
      <c r="D82" s="924"/>
      <c r="E82" s="925" t="s">
        <v>163</v>
      </c>
      <c r="F82" s="926" t="s">
        <v>110</v>
      </c>
      <c r="G82" s="927"/>
      <c r="H82" s="930"/>
      <c r="I82" s="927"/>
      <c r="J82" s="927"/>
      <c r="K82" s="957"/>
      <c r="L82" s="216"/>
      <c r="M82" s="601"/>
    </row>
    <row r="83" spans="2:13" ht="19.149999999999999" customHeight="1">
      <c r="B83" s="922"/>
      <c r="C83" s="932"/>
      <c r="D83" s="924"/>
      <c r="E83" s="925" t="s">
        <v>111</v>
      </c>
      <c r="F83" s="926" t="s">
        <v>112</v>
      </c>
      <c r="G83" s="927"/>
      <c r="H83" s="930"/>
      <c r="I83" s="927"/>
      <c r="J83" s="927"/>
      <c r="K83" s="957"/>
      <c r="L83" s="216"/>
      <c r="M83" s="601"/>
    </row>
    <row r="84" spans="2:13" ht="19.149999999999999" customHeight="1">
      <c r="B84" s="922"/>
      <c r="C84" s="932"/>
      <c r="D84" s="924"/>
      <c r="E84" s="925" t="s">
        <v>1402</v>
      </c>
      <c r="F84" s="926" t="s">
        <v>1403</v>
      </c>
      <c r="G84" s="927"/>
      <c r="H84" s="930"/>
      <c r="I84" s="927"/>
      <c r="J84" s="927"/>
      <c r="K84" s="957"/>
      <c r="L84" s="216"/>
      <c r="M84" s="601"/>
    </row>
    <row r="85" spans="2:13" ht="27.65" customHeight="1">
      <c r="B85" s="934" t="s">
        <v>1403</v>
      </c>
      <c r="C85" s="935">
        <v>81</v>
      </c>
      <c r="D85" s="936">
        <v>490</v>
      </c>
      <c r="E85" s="937">
        <v>311900</v>
      </c>
      <c r="F85" s="958" t="s">
        <v>1405</v>
      </c>
      <c r="G85" s="997">
        <v>700</v>
      </c>
      <c r="H85" s="998">
        <v>700</v>
      </c>
      <c r="I85" s="997">
        <v>650</v>
      </c>
      <c r="J85" s="997">
        <v>650</v>
      </c>
      <c r="K85" s="940">
        <v>756.73153000000002</v>
      </c>
      <c r="M85" s="601"/>
    </row>
    <row r="86" spans="2:13" ht="19.149999999999999" customHeight="1">
      <c r="B86" s="982"/>
      <c r="C86" s="983"/>
      <c r="D86" s="984"/>
      <c r="E86" s="985" t="s">
        <v>113</v>
      </c>
      <c r="F86" s="986" t="s">
        <v>1404</v>
      </c>
      <c r="G86" s="987">
        <f>SUM(G84:G85)</f>
        <v>700</v>
      </c>
      <c r="H86" s="988">
        <f>SUM(H84:H85)</f>
        <v>700</v>
      </c>
      <c r="I86" s="987">
        <f>SUM(I84:I85)</f>
        <v>650</v>
      </c>
      <c r="J86" s="987">
        <f>SUM(J84:J85)</f>
        <v>650</v>
      </c>
      <c r="K86" s="989">
        <f>SUM(K84:K85)</f>
        <v>756.73153000000002</v>
      </c>
      <c r="L86" s="216"/>
      <c r="M86" s="601"/>
    </row>
    <row r="87" spans="2:13" ht="19.149999999999999" customHeight="1">
      <c r="B87" s="922"/>
      <c r="C87" s="932"/>
      <c r="D87" s="924"/>
      <c r="E87" s="925" t="s">
        <v>113</v>
      </c>
      <c r="F87" s="926" t="s">
        <v>114</v>
      </c>
      <c r="G87" s="927"/>
      <c r="H87" s="930"/>
      <c r="I87" s="927"/>
      <c r="J87" s="927"/>
      <c r="K87" s="957"/>
      <c r="L87" s="216"/>
      <c r="M87" s="601"/>
    </row>
    <row r="88" spans="2:13" ht="14">
      <c r="B88" s="934" t="s">
        <v>114</v>
      </c>
      <c r="C88" s="935">
        <v>81</v>
      </c>
      <c r="D88" s="936">
        <v>420</v>
      </c>
      <c r="E88" s="937">
        <v>312000</v>
      </c>
      <c r="F88" s="101" t="s">
        <v>1528</v>
      </c>
      <c r="G88" s="938">
        <f>88-88</f>
        <v>0</v>
      </c>
      <c r="H88" s="939">
        <v>245</v>
      </c>
      <c r="I88" s="938">
        <v>245</v>
      </c>
      <c r="J88" s="938">
        <v>245</v>
      </c>
      <c r="K88" s="940">
        <v>271.70999999999998</v>
      </c>
      <c r="M88" s="601"/>
    </row>
    <row r="89" spans="2:13" ht="14">
      <c r="B89" s="934" t="s">
        <v>114</v>
      </c>
      <c r="C89" s="935">
        <v>81</v>
      </c>
      <c r="D89" s="936">
        <v>922</v>
      </c>
      <c r="E89" s="937">
        <v>312000</v>
      </c>
      <c r="F89" s="101" t="s">
        <v>345</v>
      </c>
      <c r="G89" s="938">
        <v>52</v>
      </c>
      <c r="H89" s="939">
        <v>44</v>
      </c>
      <c r="I89" s="938">
        <v>52</v>
      </c>
      <c r="J89" s="938">
        <v>52</v>
      </c>
      <c r="K89" s="940">
        <v>44.525419999999997</v>
      </c>
      <c r="L89" s="216"/>
      <c r="M89" s="601"/>
    </row>
    <row r="90" spans="2:13" ht="19.149999999999999" customHeight="1">
      <c r="B90" s="934" t="s">
        <v>114</v>
      </c>
      <c r="C90" s="935">
        <v>81</v>
      </c>
      <c r="D90" s="936">
        <v>920</v>
      </c>
      <c r="E90" s="937">
        <v>312200</v>
      </c>
      <c r="F90" s="101" t="s">
        <v>1280</v>
      </c>
      <c r="G90" s="938">
        <v>9339</v>
      </c>
      <c r="H90" s="939">
        <v>8853</v>
      </c>
      <c r="I90" s="938">
        <v>8830</v>
      </c>
      <c r="J90" s="938">
        <v>8830</v>
      </c>
      <c r="K90" s="940">
        <v>8103.4828600000001</v>
      </c>
      <c r="L90" s="216"/>
      <c r="M90" s="601"/>
    </row>
    <row r="91" spans="2:13" ht="28">
      <c r="B91" s="934" t="s">
        <v>114</v>
      </c>
      <c r="C91" s="935">
        <v>81</v>
      </c>
      <c r="D91" s="936">
        <v>921</v>
      </c>
      <c r="E91" s="937">
        <v>312200</v>
      </c>
      <c r="F91" s="958" t="s">
        <v>2267</v>
      </c>
      <c r="G91" s="938">
        <v>10694</v>
      </c>
      <c r="H91" s="939">
        <v>10052</v>
      </c>
      <c r="I91" s="938">
        <v>10160</v>
      </c>
      <c r="J91" s="938">
        <v>10350</v>
      </c>
      <c r="K91" s="940">
        <v>9407.1451500000003</v>
      </c>
      <c r="L91" s="216"/>
      <c r="M91" s="601"/>
    </row>
    <row r="92" spans="2:13" ht="28">
      <c r="B92" s="934" t="s">
        <v>114</v>
      </c>
      <c r="C92" s="935">
        <v>81</v>
      </c>
      <c r="D92" s="936">
        <v>922</v>
      </c>
      <c r="E92" s="937">
        <v>312200</v>
      </c>
      <c r="F92" s="958" t="s">
        <v>1329</v>
      </c>
      <c r="G92" s="938">
        <v>24291</v>
      </c>
      <c r="H92" s="939">
        <v>23922</v>
      </c>
      <c r="I92" s="938">
        <v>23291</v>
      </c>
      <c r="J92" s="938">
        <v>22961</v>
      </c>
      <c r="K92" s="940">
        <v>21961.787250000001</v>
      </c>
      <c r="L92" s="216"/>
      <c r="M92" s="601"/>
    </row>
    <row r="93" spans="2:13" ht="19.149999999999999" customHeight="1">
      <c r="B93" s="934" t="s">
        <v>114</v>
      </c>
      <c r="C93" s="935">
        <v>81</v>
      </c>
      <c r="D93" s="936">
        <v>923</v>
      </c>
      <c r="E93" s="937">
        <v>312200</v>
      </c>
      <c r="F93" s="958" t="s">
        <v>1708</v>
      </c>
      <c r="G93" s="938">
        <v>2852</v>
      </c>
      <c r="H93" s="939">
        <v>2162</v>
      </c>
      <c r="I93" s="938">
        <v>2141</v>
      </c>
      <c r="J93" s="938">
        <v>2141</v>
      </c>
      <c r="K93" s="940">
        <v>2237.35113</v>
      </c>
      <c r="L93" s="216"/>
      <c r="M93" s="601"/>
    </row>
    <row r="94" spans="2:13" ht="19.149999999999999" customHeight="1">
      <c r="B94" s="934" t="s">
        <v>114</v>
      </c>
      <c r="C94" s="935">
        <v>81</v>
      </c>
      <c r="D94" s="936">
        <v>924</v>
      </c>
      <c r="E94" s="937">
        <v>312200</v>
      </c>
      <c r="F94" s="101" t="s">
        <v>1589</v>
      </c>
      <c r="G94" s="938">
        <v>2409</v>
      </c>
      <c r="H94" s="939">
        <v>2735</v>
      </c>
      <c r="I94" s="938">
        <v>2965</v>
      </c>
      <c r="J94" s="938">
        <v>2965</v>
      </c>
      <c r="K94" s="940">
        <v>2572.1536900000001</v>
      </c>
      <c r="L94" s="216"/>
      <c r="M94" s="601"/>
    </row>
    <row r="95" spans="2:13" ht="14">
      <c r="B95" s="934" t="s">
        <v>114</v>
      </c>
      <c r="C95" s="935">
        <v>81</v>
      </c>
      <c r="D95" s="936">
        <v>410</v>
      </c>
      <c r="E95" s="937">
        <v>312300</v>
      </c>
      <c r="F95" s="101" t="s">
        <v>928</v>
      </c>
      <c r="G95" s="938">
        <v>38</v>
      </c>
      <c r="H95" s="939">
        <v>34</v>
      </c>
      <c r="I95" s="938">
        <v>20</v>
      </c>
      <c r="J95" s="938">
        <v>20</v>
      </c>
      <c r="K95" s="940">
        <v>35.806179999999998</v>
      </c>
      <c r="M95" s="601"/>
    </row>
    <row r="96" spans="2:13" ht="19.149999999999999" customHeight="1">
      <c r="B96" s="982"/>
      <c r="C96" s="983"/>
      <c r="D96" s="984"/>
      <c r="E96" s="985" t="s">
        <v>113</v>
      </c>
      <c r="F96" s="986" t="s">
        <v>930</v>
      </c>
      <c r="G96" s="987">
        <f>SUM(G87:G95)</f>
        <v>49675</v>
      </c>
      <c r="H96" s="988">
        <f>SUM(H87:H95)</f>
        <v>48047</v>
      </c>
      <c r="I96" s="987">
        <f>SUM(I87:I95)</f>
        <v>47704</v>
      </c>
      <c r="J96" s="987">
        <f>SUM(J87:J95)</f>
        <v>47564</v>
      </c>
      <c r="K96" s="989">
        <f>SUM(K87:K95)</f>
        <v>44633.961680000008</v>
      </c>
      <c r="L96" s="216"/>
      <c r="M96" s="601"/>
    </row>
    <row r="97" spans="2:13" ht="19.149999999999999" customHeight="1">
      <c r="B97" s="922"/>
      <c r="C97" s="932"/>
      <c r="D97" s="924"/>
      <c r="E97" s="925" t="s">
        <v>1040</v>
      </c>
      <c r="F97" s="933" t="s">
        <v>1041</v>
      </c>
      <c r="G97" s="927"/>
      <c r="H97" s="930"/>
      <c r="I97" s="927"/>
      <c r="J97" s="927"/>
      <c r="K97" s="957"/>
      <c r="L97" s="216"/>
      <c r="M97" s="601"/>
    </row>
    <row r="98" spans="2:13" ht="28">
      <c r="B98" s="934" t="s">
        <v>1041</v>
      </c>
      <c r="C98" s="935">
        <v>81</v>
      </c>
      <c r="D98" s="936">
        <v>490</v>
      </c>
      <c r="E98" s="937">
        <v>313200</v>
      </c>
      <c r="F98" s="999" t="s">
        <v>2023</v>
      </c>
      <c r="G98" s="938">
        <v>200</v>
      </c>
      <c r="H98" s="939">
        <v>200</v>
      </c>
      <c r="I98" s="938">
        <v>200</v>
      </c>
      <c r="J98" s="938">
        <v>200</v>
      </c>
      <c r="K98" s="940">
        <v>141.22200000000001</v>
      </c>
      <c r="M98" s="601"/>
    </row>
    <row r="99" spans="2:13" ht="19.149999999999999" customHeight="1">
      <c r="B99" s="934" t="s">
        <v>1041</v>
      </c>
      <c r="C99" s="935">
        <v>81</v>
      </c>
      <c r="D99" s="936">
        <v>491</v>
      </c>
      <c r="E99" s="937">
        <v>313200</v>
      </c>
      <c r="F99" s="1000" t="s">
        <v>1957</v>
      </c>
      <c r="G99" s="938">
        <v>97</v>
      </c>
      <c r="H99" s="939">
        <v>70</v>
      </c>
      <c r="I99" s="938">
        <v>100</v>
      </c>
      <c r="J99" s="938">
        <v>100</v>
      </c>
      <c r="K99" s="940">
        <v>0</v>
      </c>
      <c r="M99" s="601"/>
    </row>
    <row r="100" spans="2:13" ht="19.149999999999999" customHeight="1">
      <c r="B100" s="934" t="s">
        <v>1041</v>
      </c>
      <c r="C100" s="935">
        <v>81</v>
      </c>
      <c r="D100" s="936">
        <v>920</v>
      </c>
      <c r="E100" s="937">
        <v>313200</v>
      </c>
      <c r="F100" s="1000" t="s">
        <v>1996</v>
      </c>
      <c r="G100" s="938">
        <v>8308</v>
      </c>
      <c r="H100" s="939">
        <v>7941</v>
      </c>
      <c r="I100" s="938">
        <v>7695</v>
      </c>
      <c r="J100" s="938">
        <v>7645</v>
      </c>
      <c r="K100" s="940">
        <v>7430.7022900000002</v>
      </c>
      <c r="M100" s="601"/>
    </row>
    <row r="101" spans="2:13" ht="28">
      <c r="B101" s="934" t="s">
        <v>1041</v>
      </c>
      <c r="C101" s="935">
        <v>81</v>
      </c>
      <c r="D101" s="936">
        <v>921</v>
      </c>
      <c r="E101" s="937">
        <v>313200</v>
      </c>
      <c r="F101" s="958" t="s">
        <v>2097</v>
      </c>
      <c r="G101" s="938">
        <v>1335</v>
      </c>
      <c r="H101" s="939">
        <v>1223</v>
      </c>
      <c r="I101" s="938">
        <v>1140</v>
      </c>
      <c r="J101" s="938">
        <v>1213</v>
      </c>
      <c r="K101" s="940">
        <v>1200.7263899999998</v>
      </c>
      <c r="L101" s="216"/>
      <c r="M101" s="601"/>
    </row>
    <row r="102" spans="2:13" ht="19.149999999999999" customHeight="1">
      <c r="B102" s="934" t="s">
        <v>1041</v>
      </c>
      <c r="C102" s="935">
        <v>82</v>
      </c>
      <c r="D102" s="936">
        <v>922</v>
      </c>
      <c r="E102" s="937">
        <v>313200</v>
      </c>
      <c r="F102" s="101" t="s">
        <v>200</v>
      </c>
      <c r="G102" s="938">
        <v>30</v>
      </c>
      <c r="H102" s="939">
        <v>31</v>
      </c>
      <c r="I102" s="938">
        <v>23</v>
      </c>
      <c r="J102" s="938">
        <v>23</v>
      </c>
      <c r="K102" s="940">
        <v>31.131</v>
      </c>
      <c r="L102" s="216"/>
      <c r="M102" s="601"/>
    </row>
    <row r="103" spans="2:13" ht="19.149999999999999" customHeight="1">
      <c r="B103" s="934" t="s">
        <v>1041</v>
      </c>
      <c r="C103" s="935">
        <v>81</v>
      </c>
      <c r="D103" s="936">
        <v>923</v>
      </c>
      <c r="E103" s="937">
        <v>313200</v>
      </c>
      <c r="F103" s="958" t="s">
        <v>1708</v>
      </c>
      <c r="G103" s="938">
        <v>1313</v>
      </c>
      <c r="H103" s="939">
        <v>1191</v>
      </c>
      <c r="I103" s="938">
        <v>1479</v>
      </c>
      <c r="J103" s="938">
        <v>1479</v>
      </c>
      <c r="K103" s="940">
        <v>974.16840000000002</v>
      </c>
      <c r="L103" s="216"/>
      <c r="M103" s="601"/>
    </row>
    <row r="104" spans="2:13" ht="28">
      <c r="B104" s="934" t="s">
        <v>1041</v>
      </c>
      <c r="C104" s="935">
        <v>81</v>
      </c>
      <c r="D104" s="936">
        <v>924</v>
      </c>
      <c r="E104" s="937">
        <v>313200</v>
      </c>
      <c r="F104" s="958" t="s">
        <v>1423</v>
      </c>
      <c r="G104" s="938">
        <v>391</v>
      </c>
      <c r="H104" s="939">
        <v>335</v>
      </c>
      <c r="I104" s="938">
        <v>331</v>
      </c>
      <c r="J104" s="938">
        <v>373</v>
      </c>
      <c r="K104" s="940">
        <v>373.70528000000002</v>
      </c>
      <c r="L104" s="216"/>
      <c r="M104" s="601"/>
    </row>
    <row r="105" spans="2:13" ht="42">
      <c r="B105" s="934" t="s">
        <v>1041</v>
      </c>
      <c r="C105" s="935">
        <v>81</v>
      </c>
      <c r="D105" s="936">
        <v>926</v>
      </c>
      <c r="E105" s="937">
        <v>313200</v>
      </c>
      <c r="F105" s="1086" t="s">
        <v>2296</v>
      </c>
      <c r="G105" s="938">
        <v>4189</v>
      </c>
      <c r="H105" s="939">
        <v>2880</v>
      </c>
      <c r="I105" s="938">
        <v>2880</v>
      </c>
      <c r="J105" s="938">
        <v>0</v>
      </c>
      <c r="K105" s="940">
        <v>0</v>
      </c>
      <c r="L105" s="216"/>
      <c r="M105" s="601"/>
    </row>
    <row r="106" spans="2:13" ht="19.149999999999999" customHeight="1">
      <c r="B106" s="982"/>
      <c r="C106" s="983"/>
      <c r="D106" s="984"/>
      <c r="E106" s="985" t="s">
        <v>1040</v>
      </c>
      <c r="F106" s="986" t="s">
        <v>660</v>
      </c>
      <c r="G106" s="987">
        <f>SUM(G98:G105)</f>
        <v>15863</v>
      </c>
      <c r="H106" s="988">
        <f>SUM(H98:H105)</f>
        <v>13871</v>
      </c>
      <c r="I106" s="987">
        <f>SUM(I98:I105)</f>
        <v>13848</v>
      </c>
      <c r="J106" s="987">
        <f>SUM(J98:J105)</f>
        <v>11033</v>
      </c>
      <c r="K106" s="989">
        <f>SUM(K98:K105)</f>
        <v>10151.655359999999</v>
      </c>
      <c r="L106" s="216"/>
      <c r="M106" s="601"/>
    </row>
    <row r="107" spans="2:13" ht="19.149999999999999" customHeight="1">
      <c r="B107" s="922"/>
      <c r="C107" s="932"/>
      <c r="D107" s="924"/>
      <c r="E107" s="925" t="s">
        <v>1195</v>
      </c>
      <c r="F107" s="926" t="s">
        <v>1193</v>
      </c>
      <c r="G107" s="927"/>
      <c r="H107" s="930"/>
      <c r="I107" s="927"/>
      <c r="J107" s="927"/>
      <c r="K107" s="957"/>
      <c r="L107" s="216"/>
      <c r="M107" s="601"/>
    </row>
    <row r="108" spans="2:13" ht="19.149999999999999" customHeight="1">
      <c r="B108" s="934" t="s">
        <v>1211</v>
      </c>
      <c r="C108" s="935">
        <v>81</v>
      </c>
      <c r="D108" s="936">
        <v>920</v>
      </c>
      <c r="E108" s="937" t="s">
        <v>1196</v>
      </c>
      <c r="F108" s="1000" t="s">
        <v>714</v>
      </c>
      <c r="G108" s="938">
        <v>204</v>
      </c>
      <c r="H108" s="939">
        <v>192</v>
      </c>
      <c r="I108" s="938">
        <v>196</v>
      </c>
      <c r="J108" s="938">
        <v>196</v>
      </c>
      <c r="K108" s="940">
        <v>192.95913000000002</v>
      </c>
      <c r="L108" s="216"/>
      <c r="M108" s="601"/>
    </row>
    <row r="109" spans="2:13" ht="19.149999999999999" customHeight="1">
      <c r="B109" s="982"/>
      <c r="C109" s="983"/>
      <c r="D109" s="984"/>
      <c r="E109" s="985" t="s">
        <v>1195</v>
      </c>
      <c r="F109" s="986" t="s">
        <v>1197</v>
      </c>
      <c r="G109" s="987">
        <f>SUM(G108)</f>
        <v>204</v>
      </c>
      <c r="H109" s="988">
        <f>SUM(H108)</f>
        <v>192</v>
      </c>
      <c r="I109" s="987">
        <f>SUM(I108)</f>
        <v>196</v>
      </c>
      <c r="J109" s="987">
        <f>SUM(J108)</f>
        <v>196</v>
      </c>
      <c r="K109" s="989">
        <f>SUM(K108)</f>
        <v>192.95913000000002</v>
      </c>
      <c r="L109" s="216"/>
      <c r="M109" s="601"/>
    </row>
    <row r="110" spans="2:13" ht="19.149999999999999" customHeight="1">
      <c r="B110" s="922"/>
      <c r="C110" s="932"/>
      <c r="D110" s="924"/>
      <c r="E110" s="925" t="s">
        <v>661</v>
      </c>
      <c r="F110" s="933" t="s">
        <v>1157</v>
      </c>
      <c r="G110" s="1001"/>
      <c r="H110" s="930"/>
      <c r="I110" s="1001"/>
      <c r="J110" s="1001"/>
      <c r="K110" s="957"/>
      <c r="L110" s="216"/>
      <c r="M110" s="601"/>
    </row>
    <row r="111" spans="2:13" ht="14">
      <c r="B111" s="934" t="s">
        <v>1157</v>
      </c>
      <c r="C111" s="935">
        <v>81</v>
      </c>
      <c r="D111" s="936">
        <v>920</v>
      </c>
      <c r="E111" s="937">
        <v>313300</v>
      </c>
      <c r="F111" s="101" t="s">
        <v>931</v>
      </c>
      <c r="G111" s="938">
        <v>18950</v>
      </c>
      <c r="H111" s="939">
        <v>17556</v>
      </c>
      <c r="I111" s="938">
        <v>16905</v>
      </c>
      <c r="J111" s="938">
        <v>16905</v>
      </c>
      <c r="K111" s="940">
        <v>15418.440409999999</v>
      </c>
      <c r="L111" s="216"/>
      <c r="M111" s="601"/>
    </row>
    <row r="112" spans="2:13" ht="14">
      <c r="B112" s="934" t="s">
        <v>1157</v>
      </c>
      <c r="C112" s="935">
        <v>81</v>
      </c>
      <c r="D112" s="936">
        <v>921</v>
      </c>
      <c r="E112" s="937">
        <v>313300</v>
      </c>
      <c r="F112" s="101" t="s">
        <v>1245</v>
      </c>
      <c r="G112" s="938">
        <v>1650</v>
      </c>
      <c r="H112" s="939">
        <v>1453</v>
      </c>
      <c r="I112" s="938">
        <v>1441</v>
      </c>
      <c r="J112" s="938">
        <v>1526</v>
      </c>
      <c r="K112" s="940">
        <v>1416.72757</v>
      </c>
      <c r="L112" s="216"/>
      <c r="M112" s="601"/>
    </row>
    <row r="113" spans="2:13" ht="19.149999999999999" customHeight="1">
      <c r="B113" s="982"/>
      <c r="C113" s="983"/>
      <c r="D113" s="984"/>
      <c r="E113" s="985" t="s">
        <v>661</v>
      </c>
      <c r="F113" s="1002" t="s">
        <v>1158</v>
      </c>
      <c r="G113" s="987">
        <f>SUM(G111:G112)</f>
        <v>20600</v>
      </c>
      <c r="H113" s="988">
        <f>SUM(H111:H112)</f>
        <v>19009</v>
      </c>
      <c r="I113" s="987">
        <f>SUM(I111:I112)</f>
        <v>18346</v>
      </c>
      <c r="J113" s="987">
        <f>SUM(J111:J112)</f>
        <v>18431</v>
      </c>
      <c r="K113" s="989">
        <f>SUM(K111:K112)</f>
        <v>16835.167979999998</v>
      </c>
      <c r="L113" s="216"/>
      <c r="M113" s="601"/>
    </row>
    <row r="114" spans="2:13" ht="28">
      <c r="B114" s="922"/>
      <c r="C114" s="932"/>
      <c r="D114" s="924"/>
      <c r="E114" s="925" t="s">
        <v>1214</v>
      </c>
      <c r="F114" s="1003" t="s">
        <v>1215</v>
      </c>
      <c r="G114" s="927"/>
      <c r="H114" s="930"/>
      <c r="I114" s="927"/>
      <c r="J114" s="927"/>
      <c r="K114" s="957"/>
      <c r="L114" s="216"/>
      <c r="M114" s="601"/>
    </row>
    <row r="115" spans="2:13" ht="19.149999999999999" customHeight="1">
      <c r="B115" s="1004" t="s">
        <v>1003</v>
      </c>
      <c r="C115" s="935">
        <v>81</v>
      </c>
      <c r="D115" s="936">
        <v>421</v>
      </c>
      <c r="E115" s="937">
        <v>313600</v>
      </c>
      <c r="F115" s="958" t="s">
        <v>1709</v>
      </c>
      <c r="G115" s="938">
        <f>17-17</f>
        <v>0</v>
      </c>
      <c r="H115" s="939">
        <v>54</v>
      </c>
      <c r="I115" s="938">
        <v>54</v>
      </c>
      <c r="J115" s="938">
        <v>54</v>
      </c>
      <c r="K115" s="940">
        <v>41.44</v>
      </c>
      <c r="M115" s="601"/>
    </row>
    <row r="116" spans="2:13" ht="28">
      <c r="B116" s="1004" t="s">
        <v>1003</v>
      </c>
      <c r="C116" s="935">
        <v>81</v>
      </c>
      <c r="D116" s="936">
        <v>921</v>
      </c>
      <c r="E116" s="937">
        <v>313600</v>
      </c>
      <c r="F116" s="958" t="s">
        <v>1634</v>
      </c>
      <c r="G116" s="938">
        <v>305</v>
      </c>
      <c r="H116" s="939">
        <v>305</v>
      </c>
      <c r="I116" s="938">
        <v>305</v>
      </c>
      <c r="J116" s="938">
        <v>420</v>
      </c>
      <c r="K116" s="940">
        <v>111.6942</v>
      </c>
      <c r="L116" s="216"/>
      <c r="M116" s="601"/>
    </row>
    <row r="117" spans="2:13" ht="28">
      <c r="B117" s="1004" t="s">
        <v>1003</v>
      </c>
      <c r="C117" s="935">
        <v>81</v>
      </c>
      <c r="D117" s="936">
        <v>922</v>
      </c>
      <c r="E117" s="937">
        <v>313600</v>
      </c>
      <c r="F117" s="958" t="s">
        <v>2202</v>
      </c>
      <c r="G117" s="938">
        <v>115</v>
      </c>
      <c r="H117" s="939">
        <v>115</v>
      </c>
      <c r="I117" s="938">
        <v>115</v>
      </c>
      <c r="J117" s="938">
        <v>0</v>
      </c>
      <c r="K117" s="940">
        <v>0</v>
      </c>
      <c r="L117" s="216"/>
      <c r="M117" s="601"/>
    </row>
    <row r="118" spans="2:13" ht="19.149999999999999" customHeight="1">
      <c r="B118" s="982"/>
      <c r="C118" s="983"/>
      <c r="D118" s="984"/>
      <c r="E118" s="985" t="s">
        <v>1214</v>
      </c>
      <c r="F118" s="986" t="s">
        <v>1216</v>
      </c>
      <c r="G118" s="987">
        <f>SUM(G115:G117)</f>
        <v>420</v>
      </c>
      <c r="H118" s="988">
        <f>SUM(H115:H117)</f>
        <v>474</v>
      </c>
      <c r="I118" s="987">
        <f>SUM(I115:I117)</f>
        <v>474</v>
      </c>
      <c r="J118" s="987">
        <f>SUM(J115:J117)</f>
        <v>474</v>
      </c>
      <c r="K118" s="989">
        <f>SUM(K115:K117)</f>
        <v>153.13419999999999</v>
      </c>
      <c r="L118" s="216"/>
      <c r="M118" s="601"/>
    </row>
    <row r="119" spans="2:13" ht="19.149999999999999" customHeight="1">
      <c r="B119" s="922"/>
      <c r="C119" s="932"/>
      <c r="D119" s="924"/>
      <c r="E119" s="925" t="s">
        <v>1368</v>
      </c>
      <c r="F119" s="926" t="s">
        <v>1369</v>
      </c>
      <c r="G119" s="927"/>
      <c r="H119" s="930"/>
      <c r="I119" s="927"/>
      <c r="J119" s="927"/>
      <c r="K119" s="957"/>
      <c r="L119" s="216"/>
      <c r="M119" s="601"/>
    </row>
    <row r="120" spans="2:13" ht="19.149999999999999" customHeight="1">
      <c r="B120" s="934" t="s">
        <v>1362</v>
      </c>
      <c r="C120" s="935">
        <v>81</v>
      </c>
      <c r="D120" s="936">
        <v>920</v>
      </c>
      <c r="E120" s="937">
        <v>313800</v>
      </c>
      <c r="F120" s="101" t="s">
        <v>1370</v>
      </c>
      <c r="G120" s="938">
        <v>1128</v>
      </c>
      <c r="H120" s="939">
        <v>5432</v>
      </c>
      <c r="I120" s="938">
        <v>5434</v>
      </c>
      <c r="J120" s="938">
        <v>1124</v>
      </c>
      <c r="K120" s="940">
        <v>1102.8928000000001</v>
      </c>
      <c r="L120" s="216"/>
      <c r="M120" s="601"/>
    </row>
    <row r="121" spans="2:13" ht="14">
      <c r="B121" s="982"/>
      <c r="C121" s="983"/>
      <c r="D121" s="984"/>
      <c r="E121" s="985" t="s">
        <v>1368</v>
      </c>
      <c r="F121" s="986" t="s">
        <v>1371</v>
      </c>
      <c r="G121" s="987">
        <f>SUM(G119:G120)</f>
        <v>1128</v>
      </c>
      <c r="H121" s="988">
        <f>SUM(H119:H120)</f>
        <v>5432</v>
      </c>
      <c r="I121" s="987">
        <f>SUM(I119:I120)</f>
        <v>5434</v>
      </c>
      <c r="J121" s="987">
        <f>SUM(J119:J120)</f>
        <v>1124</v>
      </c>
      <c r="K121" s="989">
        <f>SUM(K119:K120)</f>
        <v>1102.8928000000001</v>
      </c>
      <c r="L121" s="216"/>
      <c r="M121" s="601"/>
    </row>
    <row r="122" spans="2:13" ht="19.149999999999999" customHeight="1">
      <c r="B122" s="922"/>
      <c r="C122" s="932"/>
      <c r="D122" s="924"/>
      <c r="E122" s="925" t="s">
        <v>932</v>
      </c>
      <c r="F122" s="926" t="s">
        <v>90</v>
      </c>
      <c r="G122" s="927"/>
      <c r="H122" s="930"/>
      <c r="I122" s="927"/>
      <c r="J122" s="927"/>
      <c r="K122" s="957"/>
      <c r="L122" s="216"/>
      <c r="M122" s="601"/>
    </row>
    <row r="123" spans="2:13" ht="14">
      <c r="B123" s="934" t="s">
        <v>90</v>
      </c>
      <c r="C123" s="935">
        <v>81</v>
      </c>
      <c r="D123" s="936">
        <v>421</v>
      </c>
      <c r="E123" s="937">
        <v>314000</v>
      </c>
      <c r="F123" s="101" t="s">
        <v>1739</v>
      </c>
      <c r="G123" s="938">
        <v>70</v>
      </c>
      <c r="H123" s="939">
        <v>70</v>
      </c>
      <c r="I123" s="938">
        <v>70</v>
      </c>
      <c r="J123" s="938">
        <v>70</v>
      </c>
      <c r="K123" s="940">
        <v>28.044450000000001</v>
      </c>
      <c r="M123" s="601"/>
    </row>
    <row r="124" spans="2:13" ht="28">
      <c r="B124" s="934" t="s">
        <v>90</v>
      </c>
      <c r="C124" s="935">
        <v>81</v>
      </c>
      <c r="D124" s="936">
        <v>490</v>
      </c>
      <c r="E124" s="937">
        <v>314000</v>
      </c>
      <c r="F124" s="958" t="s">
        <v>2025</v>
      </c>
      <c r="G124" s="938">
        <v>260</v>
      </c>
      <c r="H124" s="939">
        <v>260</v>
      </c>
      <c r="I124" s="938">
        <v>260</v>
      </c>
      <c r="J124" s="938">
        <v>260</v>
      </c>
      <c r="K124" s="940">
        <v>131.90882000000002</v>
      </c>
      <c r="M124" s="601"/>
    </row>
    <row r="125" spans="2:13" ht="19.149999999999999" customHeight="1">
      <c r="B125" s="934" t="s">
        <v>90</v>
      </c>
      <c r="C125" s="935">
        <v>81</v>
      </c>
      <c r="D125" s="936">
        <v>920</v>
      </c>
      <c r="E125" s="937">
        <v>314000</v>
      </c>
      <c r="F125" s="101" t="s">
        <v>787</v>
      </c>
      <c r="G125" s="938">
        <v>7020</v>
      </c>
      <c r="H125" s="939">
        <v>6558</v>
      </c>
      <c r="I125" s="938">
        <v>6310</v>
      </c>
      <c r="J125" s="938">
        <v>6310</v>
      </c>
      <c r="K125" s="940">
        <v>6373.6925999999994</v>
      </c>
      <c r="L125" s="216"/>
      <c r="M125" s="601"/>
    </row>
    <row r="126" spans="2:13" ht="19.149999999999999" customHeight="1">
      <c r="B126" s="934" t="s">
        <v>90</v>
      </c>
      <c r="C126" s="935">
        <v>81</v>
      </c>
      <c r="D126" s="936">
        <v>921</v>
      </c>
      <c r="E126" s="937">
        <v>314000</v>
      </c>
      <c r="F126" s="958" t="s">
        <v>1762</v>
      </c>
      <c r="G126" s="938">
        <v>1455</v>
      </c>
      <c r="H126" s="939">
        <v>1466</v>
      </c>
      <c r="I126" s="938">
        <v>1660</v>
      </c>
      <c r="J126" s="938">
        <v>1210</v>
      </c>
      <c r="K126" s="940">
        <v>1327.8391399999998</v>
      </c>
      <c r="L126" s="216"/>
      <c r="M126" s="601"/>
    </row>
    <row r="127" spans="2:13" ht="19.149999999999999" customHeight="1">
      <c r="B127" s="934" t="s">
        <v>90</v>
      </c>
      <c r="C127" s="1005">
        <v>82</v>
      </c>
      <c r="D127" s="1006">
        <v>922</v>
      </c>
      <c r="E127" s="1007">
        <v>314000</v>
      </c>
      <c r="F127" s="1008" t="s">
        <v>572</v>
      </c>
      <c r="G127" s="1009">
        <v>65</v>
      </c>
      <c r="H127" s="939">
        <v>51</v>
      </c>
      <c r="I127" s="1009">
        <v>65</v>
      </c>
      <c r="J127" s="1009">
        <v>65</v>
      </c>
      <c r="K127" s="940">
        <v>83.576999999999998</v>
      </c>
      <c r="L127" s="216"/>
      <c r="M127" s="601"/>
    </row>
    <row r="128" spans="2:13" ht="19.149999999999999" customHeight="1">
      <c r="B128" s="982"/>
      <c r="C128" s="983"/>
      <c r="D128" s="984"/>
      <c r="E128" s="985" t="s">
        <v>932</v>
      </c>
      <c r="F128" s="986" t="s">
        <v>849</v>
      </c>
      <c r="G128" s="987">
        <f>SUM(G123:G127)</f>
        <v>8870</v>
      </c>
      <c r="H128" s="988">
        <f>SUM(H123:H127)</f>
        <v>8405</v>
      </c>
      <c r="I128" s="987">
        <f>SUM(I123:I127)</f>
        <v>8365</v>
      </c>
      <c r="J128" s="987">
        <f>SUM(J123:J127)</f>
        <v>7915</v>
      </c>
      <c r="K128" s="989">
        <f>SUM(K123:K127)</f>
        <v>7945.0620099999996</v>
      </c>
      <c r="L128" s="216"/>
      <c r="M128" s="601"/>
    </row>
    <row r="129" spans="2:13" ht="19.149999999999999" customHeight="1">
      <c r="B129" s="922"/>
      <c r="C129" s="932"/>
      <c r="D129" s="924"/>
      <c r="E129" s="925" t="s">
        <v>525</v>
      </c>
      <c r="F129" s="926" t="s">
        <v>1009</v>
      </c>
      <c r="G129" s="927"/>
      <c r="H129" s="930"/>
      <c r="I129" s="927"/>
      <c r="J129" s="927"/>
      <c r="K129" s="957"/>
      <c r="L129" s="216"/>
      <c r="M129" s="601"/>
    </row>
    <row r="130" spans="2:13" ht="14">
      <c r="B130" s="934" t="s">
        <v>1009</v>
      </c>
      <c r="C130" s="935">
        <v>81</v>
      </c>
      <c r="D130" s="936">
        <v>920</v>
      </c>
      <c r="E130" s="937">
        <v>314100</v>
      </c>
      <c r="F130" s="101" t="s">
        <v>1010</v>
      </c>
      <c r="G130" s="938">
        <v>508</v>
      </c>
      <c r="H130" s="939">
        <v>498</v>
      </c>
      <c r="I130" s="938">
        <v>482</v>
      </c>
      <c r="J130" s="938">
        <v>482</v>
      </c>
      <c r="K130" s="940">
        <v>476.61273999999997</v>
      </c>
      <c r="L130" s="216"/>
      <c r="M130" s="601"/>
    </row>
    <row r="131" spans="2:13" ht="19.149999999999999" customHeight="1">
      <c r="B131" s="982"/>
      <c r="C131" s="983"/>
      <c r="D131" s="984"/>
      <c r="E131" s="985" t="s">
        <v>525</v>
      </c>
      <c r="F131" s="986" t="s">
        <v>430</v>
      </c>
      <c r="G131" s="987">
        <f>SUM(G130:G130)</f>
        <v>508</v>
      </c>
      <c r="H131" s="988">
        <f>SUM(H130:H130)</f>
        <v>498</v>
      </c>
      <c r="I131" s="987">
        <f>SUM(I130:I130)</f>
        <v>482</v>
      </c>
      <c r="J131" s="987">
        <f>SUM(J130:J130)</f>
        <v>482</v>
      </c>
      <c r="K131" s="989">
        <f>SUM(K130:K130)</f>
        <v>476.61273999999997</v>
      </c>
      <c r="L131" s="216"/>
      <c r="M131" s="601"/>
    </row>
    <row r="132" spans="2:13" ht="19.149999999999999" customHeight="1">
      <c r="B132" s="922"/>
      <c r="C132" s="932"/>
      <c r="D132" s="924"/>
      <c r="E132" s="925" t="s">
        <v>1011</v>
      </c>
      <c r="F132" s="1010" t="s">
        <v>1012</v>
      </c>
      <c r="G132" s="927"/>
      <c r="H132" s="930"/>
      <c r="I132" s="927"/>
      <c r="J132" s="927"/>
      <c r="K132" s="957"/>
      <c r="L132" s="216"/>
      <c r="M132" s="601"/>
    </row>
    <row r="133" spans="2:13" ht="28">
      <c r="B133" s="934" t="s">
        <v>1012</v>
      </c>
      <c r="C133" s="935">
        <v>81</v>
      </c>
      <c r="D133" s="936">
        <v>490</v>
      </c>
      <c r="E133" s="937">
        <v>315200</v>
      </c>
      <c r="F133" s="958" t="s">
        <v>2027</v>
      </c>
      <c r="G133" s="938">
        <v>300</v>
      </c>
      <c r="H133" s="939">
        <v>300</v>
      </c>
      <c r="I133" s="938">
        <v>300</v>
      </c>
      <c r="J133" s="938">
        <v>300</v>
      </c>
      <c r="K133" s="940">
        <v>159.82300000000001</v>
      </c>
      <c r="M133" s="601"/>
    </row>
    <row r="134" spans="2:13" ht="14">
      <c r="B134" s="934" t="s">
        <v>1012</v>
      </c>
      <c r="C134" s="935">
        <v>81</v>
      </c>
      <c r="D134" s="936">
        <v>920</v>
      </c>
      <c r="E134" s="937">
        <v>315200</v>
      </c>
      <c r="F134" s="945" t="s">
        <v>1057</v>
      </c>
      <c r="G134" s="938">
        <v>70555</v>
      </c>
      <c r="H134" s="939">
        <v>69132</v>
      </c>
      <c r="I134" s="938">
        <v>68390</v>
      </c>
      <c r="J134" s="938">
        <v>66210</v>
      </c>
      <c r="K134" s="940">
        <v>65781.895879999996</v>
      </c>
      <c r="L134" s="216"/>
      <c r="M134" s="601"/>
    </row>
    <row r="135" spans="2:13" ht="19.149999999999999" customHeight="1">
      <c r="B135" s="934" t="s">
        <v>1012</v>
      </c>
      <c r="C135" s="935">
        <v>82</v>
      </c>
      <c r="D135" s="936">
        <v>922</v>
      </c>
      <c r="E135" s="937">
        <v>315200</v>
      </c>
      <c r="F135" s="1008" t="s">
        <v>335</v>
      </c>
      <c r="G135" s="938">
        <v>12</v>
      </c>
      <c r="H135" s="939">
        <v>12</v>
      </c>
      <c r="I135" s="938">
        <v>34</v>
      </c>
      <c r="J135" s="938">
        <v>34</v>
      </c>
      <c r="K135" s="940">
        <v>3.41</v>
      </c>
      <c r="L135" s="216"/>
      <c r="M135" s="601"/>
    </row>
    <row r="136" spans="2:13" ht="14">
      <c r="B136" s="934" t="s">
        <v>1012</v>
      </c>
      <c r="C136" s="935">
        <v>81</v>
      </c>
      <c r="D136" s="936">
        <v>920</v>
      </c>
      <c r="E136" s="937">
        <v>315210</v>
      </c>
      <c r="F136" s="1000" t="s">
        <v>905</v>
      </c>
      <c r="G136" s="938">
        <v>11578</v>
      </c>
      <c r="H136" s="939">
        <v>10903</v>
      </c>
      <c r="I136" s="938">
        <v>10662</v>
      </c>
      <c r="J136" s="938">
        <v>10562</v>
      </c>
      <c r="K136" s="940">
        <v>10355.715550000001</v>
      </c>
      <c r="L136" s="216"/>
      <c r="M136" s="601"/>
    </row>
    <row r="137" spans="2:13" ht="28">
      <c r="B137" s="934" t="s">
        <v>1012</v>
      </c>
      <c r="C137" s="935">
        <v>81</v>
      </c>
      <c r="D137" s="936">
        <v>770</v>
      </c>
      <c r="E137" s="937">
        <v>315900</v>
      </c>
      <c r="F137" s="958" t="s">
        <v>2203</v>
      </c>
      <c r="G137" s="938">
        <v>0</v>
      </c>
      <c r="H137" s="939">
        <v>175</v>
      </c>
      <c r="I137" s="938">
        <v>175</v>
      </c>
      <c r="J137" s="938">
        <v>175</v>
      </c>
      <c r="K137" s="940">
        <v>0</v>
      </c>
      <c r="L137" s="216"/>
      <c r="M137" s="601"/>
    </row>
    <row r="138" spans="2:13" ht="19.149999999999999" customHeight="1">
      <c r="B138" s="934" t="s">
        <v>1012</v>
      </c>
      <c r="C138" s="935">
        <v>81</v>
      </c>
      <c r="D138" s="936">
        <v>920</v>
      </c>
      <c r="E138" s="937">
        <v>315900</v>
      </c>
      <c r="F138" s="101" t="s">
        <v>381</v>
      </c>
      <c r="G138" s="938">
        <v>5140</v>
      </c>
      <c r="H138" s="939">
        <v>5330</v>
      </c>
      <c r="I138" s="938">
        <v>5135</v>
      </c>
      <c r="J138" s="938">
        <v>5065</v>
      </c>
      <c r="K138" s="940">
        <v>5320.2272199999998</v>
      </c>
      <c r="L138" s="216"/>
      <c r="M138" s="601"/>
    </row>
    <row r="139" spans="2:13" ht="28">
      <c r="B139" s="934" t="s">
        <v>1012</v>
      </c>
      <c r="C139" s="935">
        <v>81</v>
      </c>
      <c r="D139" s="936">
        <v>922</v>
      </c>
      <c r="E139" s="937">
        <v>315900</v>
      </c>
      <c r="F139" s="958" t="s">
        <v>1424</v>
      </c>
      <c r="G139" s="938">
        <v>1312</v>
      </c>
      <c r="H139" s="939">
        <v>1312</v>
      </c>
      <c r="I139" s="938">
        <v>1312</v>
      </c>
      <c r="J139" s="938">
        <v>1312</v>
      </c>
      <c r="K139" s="940">
        <v>1338.0508799999998</v>
      </c>
      <c r="L139" s="216"/>
      <c r="M139" s="601"/>
    </row>
    <row r="140" spans="2:13" ht="19.149999999999999" customHeight="1">
      <c r="B140" s="982"/>
      <c r="C140" s="983"/>
      <c r="D140" s="984"/>
      <c r="E140" s="985" t="s">
        <v>1011</v>
      </c>
      <c r="F140" s="986" t="s">
        <v>382</v>
      </c>
      <c r="G140" s="987">
        <f>SUM(G133:G139)</f>
        <v>88897</v>
      </c>
      <c r="H140" s="988">
        <f>SUM(H133:H139)</f>
        <v>87164</v>
      </c>
      <c r="I140" s="987">
        <f>SUM(I133:I139)</f>
        <v>86008</v>
      </c>
      <c r="J140" s="987">
        <f>SUM(J133:J139)</f>
        <v>83658</v>
      </c>
      <c r="K140" s="989">
        <f>SUM(K133:K139)</f>
        <v>82959.122529999993</v>
      </c>
      <c r="L140" s="216"/>
      <c r="M140" s="601"/>
    </row>
    <row r="141" spans="2:13" ht="19.149999999999999" customHeight="1">
      <c r="B141" s="922"/>
      <c r="C141" s="932"/>
      <c r="D141" s="924"/>
      <c r="E141" s="925" t="s">
        <v>383</v>
      </c>
      <c r="F141" s="926" t="s">
        <v>384</v>
      </c>
      <c r="G141" s="927"/>
      <c r="H141" s="930"/>
      <c r="I141" s="927"/>
      <c r="J141" s="927"/>
      <c r="K141" s="957"/>
      <c r="L141" s="216"/>
      <c r="M141" s="601"/>
    </row>
    <row r="142" spans="2:13" ht="14">
      <c r="B142" s="934" t="s">
        <v>384</v>
      </c>
      <c r="C142" s="935">
        <v>9</v>
      </c>
      <c r="D142" s="936">
        <v>920</v>
      </c>
      <c r="E142" s="937">
        <v>317100</v>
      </c>
      <c r="F142" s="101" t="s">
        <v>385</v>
      </c>
      <c r="G142" s="938">
        <v>237</v>
      </c>
      <c r="H142" s="939">
        <v>237</v>
      </c>
      <c r="I142" s="938">
        <v>215</v>
      </c>
      <c r="J142" s="938">
        <v>215</v>
      </c>
      <c r="K142" s="940">
        <v>185.26746</v>
      </c>
      <c r="L142" s="216"/>
      <c r="M142" s="601"/>
    </row>
    <row r="143" spans="2:13" ht="20.149999999999999" customHeight="1">
      <c r="B143" s="934" t="s">
        <v>384</v>
      </c>
      <c r="C143" s="935">
        <v>9</v>
      </c>
      <c r="D143" s="936">
        <v>998</v>
      </c>
      <c r="E143" s="937">
        <v>317100</v>
      </c>
      <c r="F143" s="958" t="s">
        <v>443</v>
      </c>
      <c r="G143" s="938">
        <v>3200</v>
      </c>
      <c r="H143" s="939">
        <v>2700</v>
      </c>
      <c r="I143" s="938">
        <v>3200</v>
      </c>
      <c r="J143" s="938">
        <v>3200</v>
      </c>
      <c r="K143" s="940">
        <v>3637.8970399999998</v>
      </c>
      <c r="M143" s="601"/>
    </row>
    <row r="144" spans="2:13" ht="20.149999999999999" customHeight="1">
      <c r="B144" s="934" t="s">
        <v>384</v>
      </c>
      <c r="C144" s="935">
        <v>81</v>
      </c>
      <c r="D144" s="936">
        <v>920</v>
      </c>
      <c r="E144" s="937">
        <v>317200</v>
      </c>
      <c r="F144" s="981" t="s">
        <v>1672</v>
      </c>
      <c r="G144" s="938">
        <v>16</v>
      </c>
      <c r="H144" s="939">
        <v>16</v>
      </c>
      <c r="I144" s="938">
        <v>16</v>
      </c>
      <c r="J144" s="938">
        <v>16</v>
      </c>
      <c r="K144" s="940">
        <v>9.2710499999999989</v>
      </c>
      <c r="L144" s="216"/>
      <c r="M144" s="601"/>
    </row>
    <row r="145" spans="2:13" ht="28">
      <c r="B145" s="934" t="s">
        <v>384</v>
      </c>
      <c r="C145" s="935">
        <v>81</v>
      </c>
      <c r="D145" s="936">
        <v>420</v>
      </c>
      <c r="E145" s="937">
        <v>317210</v>
      </c>
      <c r="F145" s="980" t="s">
        <v>1425</v>
      </c>
      <c r="G145" s="938">
        <v>100</v>
      </c>
      <c r="H145" s="939">
        <v>100</v>
      </c>
      <c r="I145" s="938">
        <v>100</v>
      </c>
      <c r="J145" s="938">
        <v>100</v>
      </c>
      <c r="K145" s="940">
        <v>33.091320000000003</v>
      </c>
      <c r="M145" s="601"/>
    </row>
    <row r="146" spans="2:13" ht="28">
      <c r="B146" s="934" t="s">
        <v>384</v>
      </c>
      <c r="C146" s="935">
        <v>81</v>
      </c>
      <c r="D146" s="936">
        <v>421</v>
      </c>
      <c r="E146" s="937">
        <v>317210</v>
      </c>
      <c r="F146" s="980" t="s">
        <v>1864</v>
      </c>
      <c r="G146" s="938">
        <v>1014</v>
      </c>
      <c r="H146" s="939">
        <v>1014</v>
      </c>
      <c r="I146" s="938">
        <v>1014</v>
      </c>
      <c r="J146" s="938">
        <v>1014</v>
      </c>
      <c r="K146" s="940">
        <v>992.53045999999995</v>
      </c>
      <c r="M146" s="601"/>
    </row>
    <row r="147" spans="2:13" ht="42">
      <c r="B147" s="934" t="s">
        <v>384</v>
      </c>
      <c r="C147" s="935">
        <v>81</v>
      </c>
      <c r="D147" s="936">
        <v>920</v>
      </c>
      <c r="E147" s="937">
        <v>317210</v>
      </c>
      <c r="F147" s="980" t="s">
        <v>1710</v>
      </c>
      <c r="G147" s="938">
        <v>127</v>
      </c>
      <c r="H147" s="939">
        <v>127</v>
      </c>
      <c r="I147" s="938">
        <v>127</v>
      </c>
      <c r="J147" s="938">
        <v>127</v>
      </c>
      <c r="K147" s="940">
        <v>118.69391</v>
      </c>
      <c r="L147" s="216"/>
      <c r="M147" s="601"/>
    </row>
    <row r="148" spans="2:13" ht="28">
      <c r="B148" s="934" t="s">
        <v>384</v>
      </c>
      <c r="C148" s="935">
        <v>81</v>
      </c>
      <c r="D148" s="936">
        <v>995</v>
      </c>
      <c r="E148" s="937">
        <v>317210</v>
      </c>
      <c r="F148" s="958" t="s">
        <v>2068</v>
      </c>
      <c r="G148" s="938">
        <f>1007-528</f>
        <v>479</v>
      </c>
      <c r="H148" s="939">
        <v>780</v>
      </c>
      <c r="I148" s="938">
        <v>741</v>
      </c>
      <c r="J148" s="938">
        <v>391</v>
      </c>
      <c r="K148" s="940">
        <v>837.70699999999999</v>
      </c>
      <c r="M148" s="601"/>
    </row>
    <row r="149" spans="2:13" ht="28">
      <c r="B149" s="934" t="s">
        <v>384</v>
      </c>
      <c r="C149" s="935">
        <v>81</v>
      </c>
      <c r="D149" s="936">
        <v>421</v>
      </c>
      <c r="E149" s="937">
        <v>317300</v>
      </c>
      <c r="F149" s="980" t="s">
        <v>2007</v>
      </c>
      <c r="G149" s="938">
        <v>125</v>
      </c>
      <c r="H149" s="939">
        <v>125</v>
      </c>
      <c r="I149" s="938">
        <v>125</v>
      </c>
      <c r="J149" s="938">
        <v>125</v>
      </c>
      <c r="K149" s="940">
        <v>131.477</v>
      </c>
      <c r="M149" s="601"/>
    </row>
    <row r="150" spans="2:13" ht="19.149999999999999" customHeight="1">
      <c r="B150" s="934" t="s">
        <v>384</v>
      </c>
      <c r="C150" s="935">
        <v>81</v>
      </c>
      <c r="D150" s="936">
        <v>920</v>
      </c>
      <c r="E150" s="937">
        <v>317300</v>
      </c>
      <c r="F150" s="945" t="s">
        <v>1150</v>
      </c>
      <c r="G150" s="938">
        <v>4377</v>
      </c>
      <c r="H150" s="939">
        <v>4222</v>
      </c>
      <c r="I150" s="938">
        <v>3778</v>
      </c>
      <c r="J150" s="938">
        <v>3778</v>
      </c>
      <c r="K150" s="940">
        <v>3943.6355800000001</v>
      </c>
      <c r="L150" s="216"/>
      <c r="M150" s="601"/>
    </row>
    <row r="151" spans="2:13" ht="28">
      <c r="B151" s="934" t="s">
        <v>384</v>
      </c>
      <c r="C151" s="935">
        <v>81</v>
      </c>
      <c r="D151" s="936">
        <v>921</v>
      </c>
      <c r="E151" s="937">
        <v>317300</v>
      </c>
      <c r="F151" s="958" t="s">
        <v>1877</v>
      </c>
      <c r="G151" s="938">
        <v>100</v>
      </c>
      <c r="H151" s="939">
        <v>100</v>
      </c>
      <c r="I151" s="938">
        <v>100</v>
      </c>
      <c r="J151" s="938">
        <v>100</v>
      </c>
      <c r="K151" s="940">
        <v>120.52875</v>
      </c>
      <c r="L151" s="216"/>
      <c r="M151" s="601"/>
    </row>
    <row r="152" spans="2:13" ht="19.149999999999999" customHeight="1">
      <c r="B152" s="934" t="s">
        <v>384</v>
      </c>
      <c r="C152" s="935">
        <v>81</v>
      </c>
      <c r="D152" s="936">
        <v>420</v>
      </c>
      <c r="E152" s="937">
        <v>317500</v>
      </c>
      <c r="F152" s="958" t="s">
        <v>2029</v>
      </c>
      <c r="G152" s="938">
        <v>836</v>
      </c>
      <c r="H152" s="939">
        <v>816</v>
      </c>
      <c r="I152" s="938">
        <v>816</v>
      </c>
      <c r="J152" s="938">
        <v>816</v>
      </c>
      <c r="K152" s="940">
        <v>836.63391000000001</v>
      </c>
      <c r="M152" s="601"/>
    </row>
    <row r="153" spans="2:13" ht="19.149999999999999" customHeight="1">
      <c r="B153" s="934" t="s">
        <v>384</v>
      </c>
      <c r="C153" s="935">
        <v>81</v>
      </c>
      <c r="D153" s="936">
        <v>920</v>
      </c>
      <c r="E153" s="937">
        <v>317700</v>
      </c>
      <c r="F153" s="101" t="s">
        <v>269</v>
      </c>
      <c r="G153" s="938">
        <v>520</v>
      </c>
      <c r="H153" s="939">
        <v>510</v>
      </c>
      <c r="I153" s="938">
        <v>454</v>
      </c>
      <c r="J153" s="938">
        <v>454</v>
      </c>
      <c r="K153" s="940">
        <v>482.91270000000003</v>
      </c>
      <c r="L153" s="216"/>
      <c r="M153" s="601"/>
    </row>
    <row r="154" spans="2:13" ht="19.149999999999999" customHeight="1">
      <c r="B154" s="934" t="s">
        <v>384</v>
      </c>
      <c r="C154" s="935">
        <v>81</v>
      </c>
      <c r="D154" s="936">
        <v>420</v>
      </c>
      <c r="E154" s="937">
        <v>317800</v>
      </c>
      <c r="F154" s="101" t="s">
        <v>108</v>
      </c>
      <c r="G154" s="938">
        <v>160</v>
      </c>
      <c r="H154" s="939">
        <v>104</v>
      </c>
      <c r="I154" s="938">
        <v>130</v>
      </c>
      <c r="J154" s="938">
        <v>130</v>
      </c>
      <c r="K154" s="940">
        <v>124.31100000000001</v>
      </c>
      <c r="M154" s="601"/>
    </row>
    <row r="155" spans="2:13" ht="19.149999999999999" customHeight="1">
      <c r="B155" s="975" t="s">
        <v>384</v>
      </c>
      <c r="C155" s="935">
        <v>81</v>
      </c>
      <c r="D155" s="936">
        <v>920</v>
      </c>
      <c r="E155" s="937">
        <v>317800</v>
      </c>
      <c r="F155" s="101" t="s">
        <v>350</v>
      </c>
      <c r="G155" s="938">
        <f>5639+113</f>
        <v>5752</v>
      </c>
      <c r="H155" s="939">
        <v>4910</v>
      </c>
      <c r="I155" s="938">
        <v>5450</v>
      </c>
      <c r="J155" s="938">
        <v>5833</v>
      </c>
      <c r="K155" s="940">
        <v>4879.5066799999995</v>
      </c>
      <c r="L155" s="216"/>
      <c r="M155" s="601"/>
    </row>
    <row r="156" spans="2:13" ht="19.149999999999999" customHeight="1">
      <c r="B156" s="934" t="s">
        <v>384</v>
      </c>
      <c r="C156" s="935">
        <v>81</v>
      </c>
      <c r="D156" s="936">
        <v>921</v>
      </c>
      <c r="E156" s="937">
        <v>317800</v>
      </c>
      <c r="F156" s="101" t="s">
        <v>1590</v>
      </c>
      <c r="G156" s="938">
        <v>450</v>
      </c>
      <c r="H156" s="939">
        <v>360</v>
      </c>
      <c r="I156" s="938">
        <v>450</v>
      </c>
      <c r="J156" s="938">
        <v>450</v>
      </c>
      <c r="K156" s="940">
        <v>436.68394000000001</v>
      </c>
      <c r="L156" s="216"/>
      <c r="M156" s="601"/>
    </row>
    <row r="157" spans="2:13" ht="20.149999999999999" customHeight="1">
      <c r="B157" s="934" t="s">
        <v>384</v>
      </c>
      <c r="C157" s="935">
        <v>81</v>
      </c>
      <c r="D157" s="936">
        <v>420</v>
      </c>
      <c r="E157" s="937">
        <v>317900</v>
      </c>
      <c r="F157" s="101" t="s">
        <v>1008</v>
      </c>
      <c r="G157" s="938">
        <v>950</v>
      </c>
      <c r="H157" s="939">
        <v>850</v>
      </c>
      <c r="I157" s="938">
        <v>950</v>
      </c>
      <c r="J157" s="938">
        <v>950</v>
      </c>
      <c r="K157" s="940">
        <v>900.86013000000003</v>
      </c>
      <c r="M157" s="601"/>
    </row>
    <row r="158" spans="2:13" ht="20.149999999999999" customHeight="1">
      <c r="B158" s="934" t="s">
        <v>384</v>
      </c>
      <c r="C158" s="935">
        <v>81</v>
      </c>
      <c r="D158" s="936">
        <v>421</v>
      </c>
      <c r="E158" s="937">
        <v>317900</v>
      </c>
      <c r="F158" s="101" t="s">
        <v>1279</v>
      </c>
      <c r="G158" s="938">
        <v>250</v>
      </c>
      <c r="H158" s="939">
        <v>200</v>
      </c>
      <c r="I158" s="938">
        <v>250</v>
      </c>
      <c r="J158" s="938">
        <v>250</v>
      </c>
      <c r="K158" s="940">
        <v>123.07284</v>
      </c>
      <c r="M158" s="601"/>
    </row>
    <row r="159" spans="2:13" ht="20.149999999999999" customHeight="1">
      <c r="B159" s="934" t="s">
        <v>384</v>
      </c>
      <c r="C159" s="935">
        <v>81</v>
      </c>
      <c r="D159" s="936">
        <v>430</v>
      </c>
      <c r="E159" s="937">
        <v>317910</v>
      </c>
      <c r="F159" s="101" t="s">
        <v>1427</v>
      </c>
      <c r="G159" s="938">
        <v>149</v>
      </c>
      <c r="H159" s="939">
        <v>149</v>
      </c>
      <c r="I159" s="938">
        <v>149</v>
      </c>
      <c r="J159" s="938">
        <v>149</v>
      </c>
      <c r="K159" s="940">
        <v>95.524990000000003</v>
      </c>
      <c r="M159" s="601"/>
    </row>
    <row r="160" spans="2:13" ht="20.149999999999999" customHeight="1">
      <c r="B160" s="934" t="s">
        <v>384</v>
      </c>
      <c r="C160" s="935">
        <v>81</v>
      </c>
      <c r="D160" s="936">
        <v>431</v>
      </c>
      <c r="E160" s="937">
        <v>317910</v>
      </c>
      <c r="F160" s="101" t="s">
        <v>1428</v>
      </c>
      <c r="G160" s="938">
        <v>1595</v>
      </c>
      <c r="H160" s="939">
        <v>1595</v>
      </c>
      <c r="I160" s="938">
        <v>1595</v>
      </c>
      <c r="J160" s="938">
        <v>1595</v>
      </c>
      <c r="K160" s="940">
        <v>1648.0920000000001</v>
      </c>
      <c r="M160" s="601"/>
    </row>
    <row r="161" spans="2:13" ht="28">
      <c r="B161" s="934" t="s">
        <v>384</v>
      </c>
      <c r="C161" s="935">
        <v>81</v>
      </c>
      <c r="D161" s="936">
        <v>420</v>
      </c>
      <c r="E161" s="937">
        <v>317920</v>
      </c>
      <c r="F161" s="958" t="s">
        <v>2032</v>
      </c>
      <c r="G161" s="938">
        <v>585</v>
      </c>
      <c r="H161" s="939">
        <v>480</v>
      </c>
      <c r="I161" s="938">
        <v>585</v>
      </c>
      <c r="J161" s="938">
        <v>585</v>
      </c>
      <c r="K161" s="940">
        <v>555.15099999999995</v>
      </c>
      <c r="M161" s="601"/>
    </row>
    <row r="162" spans="2:13" ht="35.25" customHeight="1">
      <c r="B162" s="934" t="s">
        <v>384</v>
      </c>
      <c r="C162" s="935">
        <v>81</v>
      </c>
      <c r="D162" s="1090">
        <v>490</v>
      </c>
      <c r="E162" s="1091">
        <v>317920</v>
      </c>
      <c r="F162" s="1086" t="s">
        <v>2299</v>
      </c>
      <c r="G162" s="1093">
        <v>504</v>
      </c>
      <c r="H162" s="1094">
        <v>285</v>
      </c>
      <c r="I162" s="938">
        <v>251</v>
      </c>
      <c r="J162" s="938">
        <v>251</v>
      </c>
      <c r="K162" s="940">
        <v>171.59700000000001</v>
      </c>
      <c r="M162" s="601"/>
    </row>
    <row r="163" spans="2:13" ht="42">
      <c r="B163" s="934" t="s">
        <v>384</v>
      </c>
      <c r="C163" s="935">
        <v>81</v>
      </c>
      <c r="D163" s="1090">
        <v>491</v>
      </c>
      <c r="E163" s="1091">
        <v>317920</v>
      </c>
      <c r="F163" s="1086" t="s">
        <v>2300</v>
      </c>
      <c r="G163" s="1093">
        <v>165</v>
      </c>
      <c r="H163" s="1094">
        <v>146</v>
      </c>
      <c r="I163" s="938">
        <v>134</v>
      </c>
      <c r="J163" s="938">
        <v>134</v>
      </c>
      <c r="K163" s="940">
        <v>43.866999999999997</v>
      </c>
      <c r="M163" s="601"/>
    </row>
    <row r="164" spans="2:13" ht="28.15" customHeight="1">
      <c r="B164" s="934" t="s">
        <v>384</v>
      </c>
      <c r="C164" s="935">
        <v>7</v>
      </c>
      <c r="D164" s="936">
        <v>991</v>
      </c>
      <c r="E164" s="937">
        <v>317950</v>
      </c>
      <c r="F164" s="958" t="s">
        <v>2243</v>
      </c>
      <c r="G164" s="938">
        <v>80</v>
      </c>
      <c r="H164" s="939">
        <v>40</v>
      </c>
      <c r="I164" s="938">
        <v>80</v>
      </c>
      <c r="J164" s="938">
        <v>80</v>
      </c>
      <c r="K164" s="940">
        <v>95</v>
      </c>
      <c r="M164" s="601"/>
    </row>
    <row r="165" spans="2:13" ht="19.149999999999999" customHeight="1">
      <c r="B165" s="934" t="s">
        <v>384</v>
      </c>
      <c r="C165" s="935">
        <v>81</v>
      </c>
      <c r="D165" s="936">
        <v>420</v>
      </c>
      <c r="E165" s="937">
        <v>317960</v>
      </c>
      <c r="F165" s="101" t="s">
        <v>1244</v>
      </c>
      <c r="G165" s="938">
        <v>100</v>
      </c>
      <c r="H165" s="939">
        <v>100</v>
      </c>
      <c r="I165" s="938">
        <v>100</v>
      </c>
      <c r="J165" s="938">
        <v>100</v>
      </c>
      <c r="K165" s="940">
        <v>82.965999999999994</v>
      </c>
      <c r="M165" s="601"/>
    </row>
    <row r="166" spans="2:13" ht="42">
      <c r="B166" s="934" t="s">
        <v>384</v>
      </c>
      <c r="C166" s="935">
        <v>81</v>
      </c>
      <c r="D166" s="936">
        <v>920</v>
      </c>
      <c r="E166" s="937">
        <v>317960</v>
      </c>
      <c r="F166" s="1086" t="s">
        <v>2301</v>
      </c>
      <c r="G166" s="938">
        <v>1129</v>
      </c>
      <c r="H166" s="939">
        <v>875</v>
      </c>
      <c r="I166" s="938">
        <v>876</v>
      </c>
      <c r="J166" s="938">
        <v>0</v>
      </c>
      <c r="K166" s="940">
        <v>0</v>
      </c>
      <c r="M166" s="601"/>
    </row>
    <row r="167" spans="2:13" ht="19.149999999999999" customHeight="1">
      <c r="B167" s="934" t="s">
        <v>384</v>
      </c>
      <c r="C167" s="935">
        <v>81</v>
      </c>
      <c r="D167" s="936">
        <v>920</v>
      </c>
      <c r="E167" s="937">
        <v>317970</v>
      </c>
      <c r="F167" s="101" t="s">
        <v>1131</v>
      </c>
      <c r="G167" s="938">
        <v>250</v>
      </c>
      <c r="H167" s="939">
        <v>250</v>
      </c>
      <c r="I167" s="938">
        <v>250</v>
      </c>
      <c r="J167" s="938">
        <v>250</v>
      </c>
      <c r="K167" s="940">
        <v>202.226</v>
      </c>
      <c r="L167" s="216"/>
      <c r="M167" s="601"/>
    </row>
    <row r="168" spans="2:13" ht="19.149999999999999" customHeight="1">
      <c r="B168" s="982"/>
      <c r="C168" s="983"/>
      <c r="D168" s="984"/>
      <c r="E168" s="985" t="s">
        <v>383</v>
      </c>
      <c r="F168" s="986" t="s">
        <v>351</v>
      </c>
      <c r="G168" s="987">
        <f>SUM(G142:G167)</f>
        <v>23250</v>
      </c>
      <c r="H168" s="988">
        <f>SUM(H142:H167)</f>
        <v>21091</v>
      </c>
      <c r="I168" s="987">
        <f>SUM(I142:I167)</f>
        <v>21936</v>
      </c>
      <c r="J168" s="987">
        <f>SUM(J142:J167)</f>
        <v>21093</v>
      </c>
      <c r="K168" s="989">
        <f>SUM(K142:K167)</f>
        <v>20688.504760000003</v>
      </c>
      <c r="L168" s="216"/>
      <c r="M168" s="601"/>
    </row>
    <row r="169" spans="2:13" ht="14">
      <c r="B169" s="982"/>
      <c r="C169" s="983"/>
      <c r="D169" s="984"/>
      <c r="E169" s="985" t="s">
        <v>111</v>
      </c>
      <c r="F169" s="986" t="s">
        <v>369</v>
      </c>
      <c r="G169" s="987">
        <f>SUMIF($E$83:$E$168,"*.",G83:G168)</f>
        <v>210115</v>
      </c>
      <c r="H169" s="988">
        <f>SUMIF($E$83:$E$168,"*.",H83:H168)</f>
        <v>204883</v>
      </c>
      <c r="I169" s="987">
        <f>SUMIF($E$83:$E$168,"*.",I83:I168)</f>
        <v>203443</v>
      </c>
      <c r="J169" s="987">
        <f>SUMIF($E$83:$E$168,"*.",J83:J168)</f>
        <v>192620</v>
      </c>
      <c r="K169" s="989">
        <f>SUMIF($E$83:$E$168,"*.",K83:K168)</f>
        <v>185895.80471999999</v>
      </c>
      <c r="L169" s="216"/>
      <c r="M169" s="601"/>
    </row>
    <row r="170" spans="2:13" ht="19.149999999999999" customHeight="1">
      <c r="B170" s="922"/>
      <c r="C170" s="932"/>
      <c r="D170" s="924"/>
      <c r="E170" s="925" t="s">
        <v>370</v>
      </c>
      <c r="F170" s="1011" t="s">
        <v>371</v>
      </c>
      <c r="G170" s="927"/>
      <c r="H170" s="930"/>
      <c r="I170" s="927"/>
      <c r="J170" s="927"/>
      <c r="K170" s="957"/>
      <c r="L170" s="216"/>
      <c r="M170" s="601"/>
    </row>
    <row r="171" spans="2:13" ht="19.149999999999999" customHeight="1">
      <c r="B171" s="922"/>
      <c r="C171" s="932"/>
      <c r="D171" s="924"/>
      <c r="E171" s="925">
        <v>322</v>
      </c>
      <c r="F171" s="926" t="s">
        <v>629</v>
      </c>
      <c r="G171" s="927"/>
      <c r="H171" s="930"/>
      <c r="I171" s="927"/>
      <c r="J171" s="927"/>
      <c r="K171" s="957"/>
      <c r="L171" s="216"/>
      <c r="M171" s="601"/>
    </row>
    <row r="172" spans="2:13" ht="28">
      <c r="B172" s="934" t="s">
        <v>629</v>
      </c>
      <c r="C172" s="935">
        <v>82</v>
      </c>
      <c r="D172" s="936">
        <v>420</v>
      </c>
      <c r="E172" s="937">
        <v>322000</v>
      </c>
      <c r="F172" s="958" t="s">
        <v>1331</v>
      </c>
      <c r="G172" s="938">
        <v>80</v>
      </c>
      <c r="H172" s="939">
        <v>55</v>
      </c>
      <c r="I172" s="938">
        <v>80</v>
      </c>
      <c r="J172" s="938">
        <v>80</v>
      </c>
      <c r="K172" s="940">
        <v>9.9600000000000009</v>
      </c>
      <c r="M172" s="601"/>
    </row>
    <row r="173" spans="2:13" ht="14">
      <c r="B173" s="982"/>
      <c r="C173" s="983"/>
      <c r="D173" s="984"/>
      <c r="E173" s="985" t="s">
        <v>897</v>
      </c>
      <c r="F173" s="986" t="s">
        <v>372</v>
      </c>
      <c r="G173" s="987">
        <f>SUM(G172:G172)</f>
        <v>80</v>
      </c>
      <c r="H173" s="988">
        <f>SUM(H172:H172)</f>
        <v>55</v>
      </c>
      <c r="I173" s="987">
        <f>SUM(I172:I172)</f>
        <v>80</v>
      </c>
      <c r="J173" s="987">
        <f>SUM(J172:J172)</f>
        <v>80</v>
      </c>
      <c r="K173" s="989">
        <f>SUM(K172:K172)</f>
        <v>9.9600000000000009</v>
      </c>
      <c r="L173" s="216"/>
      <c r="M173" s="601"/>
    </row>
    <row r="174" spans="2:13" ht="14">
      <c r="B174" s="922"/>
      <c r="C174" s="932"/>
      <c r="D174" s="924"/>
      <c r="E174" s="925" t="s">
        <v>373</v>
      </c>
      <c r="F174" s="926" t="s">
        <v>687</v>
      </c>
      <c r="G174" s="927"/>
      <c r="H174" s="930"/>
      <c r="I174" s="927"/>
      <c r="J174" s="927"/>
      <c r="K174" s="957"/>
      <c r="L174" s="216"/>
      <c r="M174" s="601"/>
    </row>
    <row r="175" spans="2:13" ht="28">
      <c r="B175" s="934" t="s">
        <v>687</v>
      </c>
      <c r="C175" s="935">
        <v>82</v>
      </c>
      <c r="D175" s="936">
        <v>420</v>
      </c>
      <c r="E175" s="937">
        <v>323000</v>
      </c>
      <c r="F175" s="958" t="s">
        <v>1426</v>
      </c>
      <c r="G175" s="938">
        <v>40</v>
      </c>
      <c r="H175" s="939">
        <v>20</v>
      </c>
      <c r="I175" s="938">
        <v>40</v>
      </c>
      <c r="J175" s="938">
        <v>40</v>
      </c>
      <c r="K175" s="940">
        <v>65.430499999999995</v>
      </c>
      <c r="M175" s="601"/>
    </row>
    <row r="176" spans="2:13" ht="28">
      <c r="B176" s="934" t="s">
        <v>687</v>
      </c>
      <c r="C176" s="935">
        <v>82</v>
      </c>
      <c r="D176" s="936">
        <v>421</v>
      </c>
      <c r="E176" s="937">
        <v>323000</v>
      </c>
      <c r="F176" s="958" t="s">
        <v>1159</v>
      </c>
      <c r="G176" s="938">
        <v>90</v>
      </c>
      <c r="H176" s="939">
        <v>42</v>
      </c>
      <c r="I176" s="938">
        <v>90</v>
      </c>
      <c r="J176" s="938">
        <v>90</v>
      </c>
      <c r="K176" s="940">
        <v>114.8</v>
      </c>
      <c r="M176" s="601"/>
    </row>
    <row r="177" spans="2:13" ht="28">
      <c r="B177" s="934" t="s">
        <v>687</v>
      </c>
      <c r="C177" s="935">
        <v>82</v>
      </c>
      <c r="D177" s="936">
        <v>421</v>
      </c>
      <c r="E177" s="937">
        <v>323400</v>
      </c>
      <c r="F177" s="958" t="s">
        <v>1160</v>
      </c>
      <c r="G177" s="938">
        <v>22</v>
      </c>
      <c r="H177" s="939">
        <v>5</v>
      </c>
      <c r="I177" s="938">
        <v>22</v>
      </c>
      <c r="J177" s="938">
        <v>22</v>
      </c>
      <c r="K177" s="940">
        <v>17.18</v>
      </c>
      <c r="M177" s="601"/>
    </row>
    <row r="178" spans="2:13" ht="19.149999999999999" customHeight="1">
      <c r="B178" s="982"/>
      <c r="C178" s="983"/>
      <c r="D178" s="984"/>
      <c r="E178" s="985" t="s">
        <v>373</v>
      </c>
      <c r="F178" s="986" t="s">
        <v>581</v>
      </c>
      <c r="G178" s="987">
        <f>SUM(G175:G177)</f>
        <v>152</v>
      </c>
      <c r="H178" s="988">
        <f>SUM(H175:H177)</f>
        <v>67</v>
      </c>
      <c r="I178" s="987">
        <f>SUM(I175:I177)</f>
        <v>152</v>
      </c>
      <c r="J178" s="987">
        <f>SUM(J175:J177)</f>
        <v>152</v>
      </c>
      <c r="K178" s="989">
        <f>SUM(K175:K177)</f>
        <v>197.41050000000001</v>
      </c>
      <c r="L178" s="216"/>
      <c r="M178" s="601"/>
    </row>
    <row r="179" spans="2:13" ht="19.149999999999999" customHeight="1">
      <c r="B179" s="922"/>
      <c r="C179" s="932"/>
      <c r="D179" s="924"/>
      <c r="E179" s="925" t="s">
        <v>444</v>
      </c>
      <c r="F179" s="926" t="s">
        <v>445</v>
      </c>
      <c r="G179" s="927"/>
      <c r="H179" s="930"/>
      <c r="I179" s="927"/>
      <c r="J179" s="927"/>
      <c r="K179" s="957"/>
      <c r="L179" s="216"/>
      <c r="M179" s="601"/>
    </row>
    <row r="180" spans="2:13" ht="28">
      <c r="B180" s="934" t="s">
        <v>1687</v>
      </c>
      <c r="C180" s="935">
        <v>82</v>
      </c>
      <c r="D180" s="936">
        <v>420</v>
      </c>
      <c r="E180" s="937">
        <v>326210</v>
      </c>
      <c r="F180" s="958" t="s">
        <v>1688</v>
      </c>
      <c r="G180" s="938">
        <v>25</v>
      </c>
      <c r="H180" s="939">
        <v>10</v>
      </c>
      <c r="I180" s="938">
        <v>25</v>
      </c>
      <c r="J180" s="938">
        <v>25</v>
      </c>
      <c r="K180" s="940">
        <v>29.456499999999998</v>
      </c>
      <c r="M180" s="601"/>
    </row>
    <row r="181" spans="2:13" ht="14">
      <c r="B181" s="982"/>
      <c r="C181" s="983"/>
      <c r="D181" s="984"/>
      <c r="E181" s="985" t="s">
        <v>444</v>
      </c>
      <c r="F181" s="986" t="s">
        <v>406</v>
      </c>
      <c r="G181" s="987">
        <f>SUM(G180:G180)</f>
        <v>25</v>
      </c>
      <c r="H181" s="988">
        <f>SUM(H180:H180)</f>
        <v>10</v>
      </c>
      <c r="I181" s="987">
        <f>SUM(I180:I180)</f>
        <v>25</v>
      </c>
      <c r="J181" s="987">
        <f>SUM(J180:J180)</f>
        <v>25</v>
      </c>
      <c r="K181" s="989">
        <f>SUM(K180:K180)</f>
        <v>29.456499999999998</v>
      </c>
      <c r="L181" s="216"/>
      <c r="M181" s="601"/>
    </row>
    <row r="182" spans="2:13" ht="19.149999999999999" customHeight="1">
      <c r="B182" s="922"/>
      <c r="C182" s="932"/>
      <c r="D182" s="924"/>
      <c r="E182" s="1012" t="s">
        <v>1890</v>
      </c>
      <c r="F182" s="926" t="s">
        <v>788</v>
      </c>
      <c r="G182" s="927"/>
      <c r="H182" s="930"/>
      <c r="I182" s="927"/>
      <c r="J182" s="927"/>
      <c r="K182" s="957"/>
      <c r="L182" s="216"/>
      <c r="M182" s="601"/>
    </row>
    <row r="183" spans="2:13" ht="28.15" customHeight="1">
      <c r="B183" s="934" t="s">
        <v>788</v>
      </c>
      <c r="C183" s="935">
        <v>82</v>
      </c>
      <c r="D183" s="936">
        <v>420</v>
      </c>
      <c r="E183" s="937">
        <v>327000</v>
      </c>
      <c r="F183" s="958" t="s">
        <v>1827</v>
      </c>
      <c r="G183" s="938">
        <v>40</v>
      </c>
      <c r="H183" s="939">
        <v>40</v>
      </c>
      <c r="I183" s="938">
        <v>40</v>
      </c>
      <c r="J183" s="938">
        <v>40</v>
      </c>
      <c r="K183" s="940">
        <v>75.863</v>
      </c>
      <c r="M183" s="601"/>
    </row>
    <row r="184" spans="2:13" ht="28">
      <c r="B184" s="934" t="s">
        <v>788</v>
      </c>
      <c r="C184" s="935">
        <v>82</v>
      </c>
      <c r="D184" s="936">
        <v>920</v>
      </c>
      <c r="E184" s="937">
        <v>327000</v>
      </c>
      <c r="F184" s="958" t="s">
        <v>1944</v>
      </c>
      <c r="G184" s="938">
        <v>300</v>
      </c>
      <c r="H184" s="939">
        <v>63</v>
      </c>
      <c r="I184" s="938">
        <v>300</v>
      </c>
      <c r="J184" s="938">
        <v>300</v>
      </c>
      <c r="K184" s="940">
        <v>447.23599999999999</v>
      </c>
      <c r="M184" s="601"/>
    </row>
    <row r="185" spans="2:13" ht="14">
      <c r="B185" s="982"/>
      <c r="C185" s="983"/>
      <c r="D185" s="984"/>
      <c r="E185" s="1013" t="s">
        <v>1890</v>
      </c>
      <c r="F185" s="986" t="s">
        <v>1815</v>
      </c>
      <c r="G185" s="987">
        <f>SUM(G183:G184)</f>
        <v>340</v>
      </c>
      <c r="H185" s="988">
        <f>SUM(H183:H184)</f>
        <v>103</v>
      </c>
      <c r="I185" s="987">
        <f>SUM(I183:I184)</f>
        <v>340</v>
      </c>
      <c r="J185" s="987">
        <f>SUM(J183:J184)</f>
        <v>340</v>
      </c>
      <c r="K185" s="989">
        <f>SUM(K183:K184)</f>
        <v>523.09899999999993</v>
      </c>
      <c r="L185" s="216"/>
      <c r="M185" s="601"/>
    </row>
    <row r="186" spans="2:13" ht="19.149999999999999" customHeight="1">
      <c r="B186" s="922"/>
      <c r="C186" s="932"/>
      <c r="D186" s="924"/>
      <c r="E186" s="1012" t="s">
        <v>1891</v>
      </c>
      <c r="F186" s="926" t="s">
        <v>983</v>
      </c>
      <c r="G186" s="927"/>
      <c r="H186" s="930"/>
      <c r="I186" s="927"/>
      <c r="J186" s="927"/>
      <c r="K186" s="957"/>
      <c r="M186" s="601"/>
    </row>
    <row r="187" spans="2:13" ht="28">
      <c r="B187" s="934" t="s">
        <v>983</v>
      </c>
      <c r="C187" s="935">
        <v>82</v>
      </c>
      <c r="D187" s="936">
        <v>420</v>
      </c>
      <c r="E187" s="937">
        <v>328100</v>
      </c>
      <c r="F187" s="958" t="s">
        <v>1828</v>
      </c>
      <c r="G187" s="938">
        <v>10</v>
      </c>
      <c r="H187" s="939">
        <v>3</v>
      </c>
      <c r="I187" s="938">
        <v>10</v>
      </c>
      <c r="J187" s="938">
        <v>10</v>
      </c>
      <c r="K187" s="940">
        <v>10.8</v>
      </c>
      <c r="M187" s="601"/>
    </row>
    <row r="188" spans="2:13" ht="28">
      <c r="B188" s="934" t="s">
        <v>983</v>
      </c>
      <c r="C188" s="935">
        <v>82</v>
      </c>
      <c r="D188" s="936">
        <v>920</v>
      </c>
      <c r="E188" s="937">
        <v>328100</v>
      </c>
      <c r="F188" s="958" t="s">
        <v>1945</v>
      </c>
      <c r="G188" s="938">
        <v>280</v>
      </c>
      <c r="H188" s="939">
        <v>44</v>
      </c>
      <c r="I188" s="938">
        <v>280</v>
      </c>
      <c r="J188" s="938">
        <v>280</v>
      </c>
      <c r="K188" s="940">
        <v>237.24507</v>
      </c>
      <c r="M188" s="601"/>
    </row>
    <row r="189" spans="2:13" ht="19.149999999999999" customHeight="1">
      <c r="B189" s="934" t="s">
        <v>983</v>
      </c>
      <c r="C189" s="935">
        <v>82</v>
      </c>
      <c r="D189" s="936">
        <v>998</v>
      </c>
      <c r="E189" s="937">
        <v>328100</v>
      </c>
      <c r="F189" s="958" t="s">
        <v>1373</v>
      </c>
      <c r="G189" s="938">
        <v>455</v>
      </c>
      <c r="H189" s="939">
        <v>128</v>
      </c>
      <c r="I189" s="938">
        <v>695</v>
      </c>
      <c r="J189" s="938">
        <v>695</v>
      </c>
      <c r="K189" s="940">
        <v>98.543000000000006</v>
      </c>
      <c r="M189" s="601"/>
    </row>
    <row r="190" spans="2:13" ht="14">
      <c r="B190" s="982"/>
      <c r="C190" s="983"/>
      <c r="D190" s="984"/>
      <c r="E190" s="1013" t="s">
        <v>1891</v>
      </c>
      <c r="F190" s="986" t="s">
        <v>890</v>
      </c>
      <c r="G190" s="987">
        <f>SUM(G187:G189)</f>
        <v>745</v>
      </c>
      <c r="H190" s="988">
        <f>SUM(H187:H189)</f>
        <v>175</v>
      </c>
      <c r="I190" s="987">
        <f>SUM(I187:I189)</f>
        <v>985</v>
      </c>
      <c r="J190" s="987">
        <f>SUM(J187:J189)</f>
        <v>985</v>
      </c>
      <c r="K190" s="989">
        <f>SUM(K187:K189)</f>
        <v>346.58807000000002</v>
      </c>
      <c r="M190" s="601"/>
    </row>
    <row r="191" spans="2:13" ht="19.149999999999999" customHeight="1">
      <c r="B191" s="922"/>
      <c r="C191" s="932"/>
      <c r="D191" s="924"/>
      <c r="E191" s="925" t="s">
        <v>336</v>
      </c>
      <c r="F191" s="926" t="s">
        <v>337</v>
      </c>
      <c r="G191" s="927"/>
      <c r="H191" s="930"/>
      <c r="I191" s="927"/>
      <c r="J191" s="927"/>
      <c r="K191" s="957"/>
      <c r="L191" s="216"/>
      <c r="M191" s="601"/>
    </row>
    <row r="192" spans="2:13" ht="14">
      <c r="B192" s="934" t="s">
        <v>337</v>
      </c>
      <c r="C192" s="935">
        <v>82</v>
      </c>
      <c r="D192" s="936">
        <v>992</v>
      </c>
      <c r="E192" s="937">
        <v>329000</v>
      </c>
      <c r="F192" s="958" t="s">
        <v>1317</v>
      </c>
      <c r="G192" s="938">
        <v>300</v>
      </c>
      <c r="H192" s="939">
        <v>328</v>
      </c>
      <c r="I192" s="938">
        <v>250</v>
      </c>
      <c r="J192" s="938">
        <v>300</v>
      </c>
      <c r="K192" s="940">
        <v>337.45499999999998</v>
      </c>
      <c r="L192" s="216"/>
      <c r="M192" s="601"/>
    </row>
    <row r="193" spans="2:13" ht="28">
      <c r="B193" s="934" t="s">
        <v>337</v>
      </c>
      <c r="C193" s="935">
        <v>82</v>
      </c>
      <c r="D193" s="936">
        <v>421</v>
      </c>
      <c r="E193" s="937">
        <v>329100</v>
      </c>
      <c r="F193" s="958" t="s">
        <v>1946</v>
      </c>
      <c r="G193" s="938">
        <v>30</v>
      </c>
      <c r="H193" s="939">
        <v>0</v>
      </c>
      <c r="I193" s="938">
        <v>60</v>
      </c>
      <c r="J193" s="938">
        <v>60</v>
      </c>
      <c r="K193" s="940">
        <v>4.0540000000000003</v>
      </c>
      <c r="M193" s="601"/>
    </row>
    <row r="194" spans="2:13" ht="19.149999999999999" customHeight="1">
      <c r="B194" s="934" t="s">
        <v>337</v>
      </c>
      <c r="C194" s="935">
        <v>82</v>
      </c>
      <c r="D194" s="936">
        <v>920</v>
      </c>
      <c r="E194" s="937">
        <v>329100</v>
      </c>
      <c r="F194" s="958" t="s">
        <v>1826</v>
      </c>
      <c r="G194" s="938">
        <v>0</v>
      </c>
      <c r="H194" s="939">
        <v>0</v>
      </c>
      <c r="I194" s="938">
        <v>15</v>
      </c>
      <c r="J194" s="938">
        <v>15</v>
      </c>
      <c r="K194" s="940">
        <v>15</v>
      </c>
      <c r="M194" s="601"/>
    </row>
    <row r="195" spans="2:13" ht="27" customHeight="1">
      <c r="B195" s="934" t="s">
        <v>337</v>
      </c>
      <c r="C195" s="935">
        <v>82</v>
      </c>
      <c r="D195" s="936">
        <v>992</v>
      </c>
      <c r="E195" s="937">
        <v>329100</v>
      </c>
      <c r="F195" s="958" t="s">
        <v>2355</v>
      </c>
      <c r="G195" s="938">
        <v>100</v>
      </c>
      <c r="H195" s="939">
        <v>0</v>
      </c>
      <c r="I195" s="938">
        <v>0</v>
      </c>
      <c r="J195" s="938">
        <v>100</v>
      </c>
      <c r="K195" s="940">
        <v>100</v>
      </c>
      <c r="L195" s="216"/>
      <c r="M195" s="601"/>
    </row>
    <row r="196" spans="2:13" ht="28">
      <c r="B196" s="934" t="s">
        <v>337</v>
      </c>
      <c r="C196" s="935">
        <v>82</v>
      </c>
      <c r="D196" s="936">
        <v>992</v>
      </c>
      <c r="E196" s="937">
        <v>329101</v>
      </c>
      <c r="F196" s="999" t="s">
        <v>1947</v>
      </c>
      <c r="G196" s="938">
        <v>0</v>
      </c>
      <c r="H196" s="939">
        <v>0</v>
      </c>
      <c r="I196" s="938">
        <v>0</v>
      </c>
      <c r="J196" s="938">
        <v>0</v>
      </c>
      <c r="K196" s="940">
        <v>470</v>
      </c>
      <c r="L196" s="216"/>
      <c r="M196" s="601"/>
    </row>
    <row r="197" spans="2:13" ht="14">
      <c r="B197" s="934" t="s">
        <v>337</v>
      </c>
      <c r="C197" s="935">
        <v>82</v>
      </c>
      <c r="D197" s="936">
        <v>420</v>
      </c>
      <c r="E197" s="937">
        <v>329200</v>
      </c>
      <c r="F197" s="1000" t="s">
        <v>1314</v>
      </c>
      <c r="G197" s="938">
        <v>30</v>
      </c>
      <c r="H197" s="939">
        <v>13</v>
      </c>
      <c r="I197" s="938">
        <v>30</v>
      </c>
      <c r="J197" s="938">
        <v>30</v>
      </c>
      <c r="K197" s="940">
        <v>47.2</v>
      </c>
      <c r="M197" s="601"/>
    </row>
    <row r="198" spans="2:13" ht="19.149999999999999" customHeight="1">
      <c r="B198" s="934" t="s">
        <v>337</v>
      </c>
      <c r="C198" s="935">
        <v>82</v>
      </c>
      <c r="D198" s="936">
        <v>420</v>
      </c>
      <c r="E198" s="937">
        <v>329210</v>
      </c>
      <c r="F198" s="101" t="s">
        <v>1332</v>
      </c>
      <c r="G198" s="938">
        <v>500</v>
      </c>
      <c r="H198" s="939">
        <v>420</v>
      </c>
      <c r="I198" s="938">
        <v>439</v>
      </c>
      <c r="J198" s="938">
        <v>500</v>
      </c>
      <c r="K198" s="940">
        <v>493.57499999999999</v>
      </c>
      <c r="M198" s="601"/>
    </row>
    <row r="199" spans="2:13" ht="19.149999999999999" customHeight="1">
      <c r="B199" s="934" t="s">
        <v>337</v>
      </c>
      <c r="C199" s="935">
        <v>82</v>
      </c>
      <c r="D199" s="936">
        <v>421</v>
      </c>
      <c r="E199" s="937">
        <v>329240</v>
      </c>
      <c r="F199" s="101" t="s">
        <v>1333</v>
      </c>
      <c r="G199" s="938">
        <v>900</v>
      </c>
      <c r="H199" s="939">
        <v>660</v>
      </c>
      <c r="I199" s="938">
        <v>775</v>
      </c>
      <c r="J199" s="938">
        <v>900</v>
      </c>
      <c r="K199" s="940">
        <v>923.10500000000002</v>
      </c>
      <c r="M199" s="601"/>
    </row>
    <row r="200" spans="2:13" ht="28">
      <c r="B200" s="934" t="s">
        <v>337</v>
      </c>
      <c r="C200" s="935">
        <v>82</v>
      </c>
      <c r="D200" s="936">
        <v>422</v>
      </c>
      <c r="E200" s="937">
        <v>329240</v>
      </c>
      <c r="F200" s="1014" t="s">
        <v>1421</v>
      </c>
      <c r="G200" s="938">
        <v>73</v>
      </c>
      <c r="H200" s="939">
        <v>73</v>
      </c>
      <c r="I200" s="938">
        <v>70</v>
      </c>
      <c r="J200" s="938">
        <v>70</v>
      </c>
      <c r="K200" s="940">
        <v>148.27000000000001</v>
      </c>
      <c r="M200" s="601"/>
    </row>
    <row r="201" spans="2:13" ht="19.149999999999999" customHeight="1">
      <c r="B201" s="934" t="s">
        <v>337</v>
      </c>
      <c r="C201" s="935">
        <v>82</v>
      </c>
      <c r="D201" s="936">
        <v>420</v>
      </c>
      <c r="E201" s="937">
        <v>329290</v>
      </c>
      <c r="F201" s="981" t="s">
        <v>603</v>
      </c>
      <c r="G201" s="938">
        <v>20</v>
      </c>
      <c r="H201" s="939">
        <v>0</v>
      </c>
      <c r="I201" s="938">
        <v>20</v>
      </c>
      <c r="J201" s="938">
        <v>20</v>
      </c>
      <c r="K201" s="940">
        <v>19.25</v>
      </c>
      <c r="M201" s="601"/>
    </row>
    <row r="202" spans="2:13" ht="19.149999999999999" customHeight="1">
      <c r="B202" s="934" t="s">
        <v>337</v>
      </c>
      <c r="C202" s="935">
        <v>82</v>
      </c>
      <c r="D202" s="936">
        <v>420</v>
      </c>
      <c r="E202" s="937">
        <v>329530</v>
      </c>
      <c r="F202" s="981" t="s">
        <v>106</v>
      </c>
      <c r="G202" s="938">
        <v>4</v>
      </c>
      <c r="H202" s="939">
        <v>0</v>
      </c>
      <c r="I202" s="938">
        <v>4</v>
      </c>
      <c r="J202" s="938">
        <v>4</v>
      </c>
      <c r="K202" s="940">
        <v>5.07</v>
      </c>
      <c r="M202" s="601"/>
    </row>
    <row r="203" spans="2:13" ht="19.149999999999999" customHeight="1">
      <c r="B203" s="934" t="s">
        <v>337</v>
      </c>
      <c r="C203" s="935">
        <v>82</v>
      </c>
      <c r="D203" s="936">
        <v>427</v>
      </c>
      <c r="E203" s="937">
        <v>329901</v>
      </c>
      <c r="F203" s="101" t="s">
        <v>1203</v>
      </c>
      <c r="G203" s="938">
        <v>930</v>
      </c>
      <c r="H203" s="939">
        <v>770</v>
      </c>
      <c r="I203" s="938">
        <v>770</v>
      </c>
      <c r="J203" s="938">
        <v>1000</v>
      </c>
      <c r="K203" s="940">
        <v>984.96</v>
      </c>
      <c r="M203" s="601"/>
    </row>
    <row r="204" spans="2:13" ht="19.149999999999999" customHeight="1">
      <c r="B204" s="982"/>
      <c r="C204" s="983"/>
      <c r="D204" s="984"/>
      <c r="E204" s="985" t="s">
        <v>336</v>
      </c>
      <c r="F204" s="986" t="s">
        <v>527</v>
      </c>
      <c r="G204" s="987">
        <f>SUM(G192:G203)</f>
        <v>2887</v>
      </c>
      <c r="H204" s="988">
        <f>SUM(H192:H203)</f>
        <v>2264</v>
      </c>
      <c r="I204" s="987">
        <f>SUM(I192:I203)</f>
        <v>2433</v>
      </c>
      <c r="J204" s="987">
        <f>SUM(J192:J203)</f>
        <v>2999</v>
      </c>
      <c r="K204" s="989">
        <f>SUM(K192:K203)</f>
        <v>3547.9390000000003</v>
      </c>
      <c r="L204" s="216"/>
      <c r="M204" s="601"/>
    </row>
    <row r="205" spans="2:13" ht="19.149999999999999" customHeight="1">
      <c r="B205" s="982"/>
      <c r="C205" s="983"/>
      <c r="D205" s="984"/>
      <c r="E205" s="985" t="s">
        <v>370</v>
      </c>
      <c r="F205" s="986" t="s">
        <v>528</v>
      </c>
      <c r="G205" s="987">
        <f>SUMIF($E$170:$E$204,"*.",G170:G204)</f>
        <v>4229</v>
      </c>
      <c r="H205" s="988">
        <f>SUMIF($E$170:$E$204,"*.",H170:H204)</f>
        <v>2674</v>
      </c>
      <c r="I205" s="987">
        <f>SUMIF($E$170:$E$204,"*.",I170:I204)</f>
        <v>4015</v>
      </c>
      <c r="J205" s="987">
        <f>SUMIF($E$170:$E$204,"*.",J170:J204)</f>
        <v>4581</v>
      </c>
      <c r="K205" s="1015">
        <f>SUMIF($E$170:$E$204,"*.",K170:K204)</f>
        <v>4654.4530700000005</v>
      </c>
      <c r="L205" s="216"/>
      <c r="M205" s="601"/>
    </row>
    <row r="206" spans="2:13" ht="19.149999999999999" customHeight="1">
      <c r="B206" s="922"/>
      <c r="C206" s="932"/>
      <c r="D206" s="924"/>
      <c r="E206" s="1012" t="s">
        <v>1920</v>
      </c>
      <c r="F206" s="1011" t="s">
        <v>529</v>
      </c>
      <c r="G206" s="927"/>
      <c r="H206" s="930"/>
      <c r="I206" s="927"/>
      <c r="J206" s="927"/>
      <c r="K206" s="957"/>
      <c r="L206" s="216"/>
      <c r="M206" s="601"/>
    </row>
    <row r="207" spans="2:13" ht="19.149999999999999" customHeight="1">
      <c r="B207" s="922"/>
      <c r="C207" s="932"/>
      <c r="D207" s="924"/>
      <c r="E207" s="1012" t="s">
        <v>1921</v>
      </c>
      <c r="F207" s="926" t="s">
        <v>696</v>
      </c>
      <c r="G207" s="927"/>
      <c r="H207" s="930"/>
      <c r="I207" s="927"/>
      <c r="J207" s="927"/>
      <c r="K207" s="957"/>
      <c r="L207" s="216"/>
      <c r="M207" s="601"/>
    </row>
    <row r="208" spans="2:13" ht="19.149999999999999" customHeight="1">
      <c r="B208" s="934" t="s">
        <v>696</v>
      </c>
      <c r="C208" s="935">
        <v>81</v>
      </c>
      <c r="D208" s="936">
        <v>940</v>
      </c>
      <c r="E208" s="937">
        <v>331000</v>
      </c>
      <c r="F208" s="958" t="s">
        <v>1956</v>
      </c>
      <c r="G208" s="938">
        <v>120</v>
      </c>
      <c r="H208" s="939">
        <v>120</v>
      </c>
      <c r="I208" s="938">
        <v>120</v>
      </c>
      <c r="J208" s="938">
        <v>120</v>
      </c>
      <c r="K208" s="940">
        <v>120</v>
      </c>
      <c r="L208" s="216"/>
      <c r="M208" s="601"/>
    </row>
    <row r="209" spans="2:20" ht="19.149999999999999" customHeight="1">
      <c r="B209" s="982"/>
      <c r="C209" s="983"/>
      <c r="D209" s="984"/>
      <c r="E209" s="1013" t="s">
        <v>1921</v>
      </c>
      <c r="F209" s="986" t="s">
        <v>612</v>
      </c>
      <c r="G209" s="987">
        <f>SUM(G208:G208)</f>
        <v>120</v>
      </c>
      <c r="H209" s="988">
        <f>SUM(H208:H208)</f>
        <v>120</v>
      </c>
      <c r="I209" s="987">
        <f>SUM(I208:I208)</f>
        <v>120</v>
      </c>
      <c r="J209" s="987">
        <f>SUM(J208:J208)</f>
        <v>120</v>
      </c>
      <c r="K209" s="989">
        <f>SUM(K208:K208)</f>
        <v>120</v>
      </c>
      <c r="L209" s="216"/>
      <c r="M209" s="601"/>
    </row>
    <row r="210" spans="2:20" ht="19.149999999999999" customHeight="1">
      <c r="B210" s="934"/>
      <c r="C210" s="935"/>
      <c r="D210" s="936"/>
      <c r="E210" s="1013" t="s">
        <v>1920</v>
      </c>
      <c r="F210" s="986" t="s">
        <v>1919</v>
      </c>
      <c r="G210" s="987">
        <f>SUMIF($E$206:$E$209,"*.",G206:G209)</f>
        <v>120</v>
      </c>
      <c r="H210" s="988">
        <f>SUMIF($E$206:$E$209,"*.",H206:H209)</f>
        <v>120</v>
      </c>
      <c r="I210" s="987">
        <f>SUMIF($E$206:$E$209,"*.",I206:I209)</f>
        <v>120</v>
      </c>
      <c r="J210" s="987">
        <f>SUMIF($E$206:$E$209,"*.",J206:J209)</f>
        <v>120</v>
      </c>
      <c r="K210" s="1015">
        <f>SUMIF($E$206:$E$209,"*.",K206:K209)</f>
        <v>120</v>
      </c>
      <c r="L210" s="216"/>
      <c r="M210" s="601"/>
    </row>
    <row r="211" spans="2:20" ht="19.149999999999999" customHeight="1">
      <c r="B211" s="922"/>
      <c r="C211" s="932"/>
      <c r="D211" s="924"/>
      <c r="E211" s="925" t="s">
        <v>1034</v>
      </c>
      <c r="F211" s="926" t="s">
        <v>977</v>
      </c>
      <c r="G211" s="927"/>
      <c r="H211" s="930"/>
      <c r="I211" s="927"/>
      <c r="J211" s="927"/>
      <c r="K211" s="957"/>
      <c r="L211" s="216"/>
      <c r="M211" s="601"/>
    </row>
    <row r="212" spans="2:20" ht="19.149999999999999" customHeight="1">
      <c r="B212" s="922"/>
      <c r="C212" s="932"/>
      <c r="D212" s="924"/>
      <c r="E212" s="925" t="s">
        <v>978</v>
      </c>
      <c r="F212" s="926" t="s">
        <v>85</v>
      </c>
      <c r="G212" s="927"/>
      <c r="H212" s="930"/>
      <c r="I212" s="927"/>
      <c r="J212" s="927"/>
      <c r="K212" s="957"/>
      <c r="L212" s="216"/>
      <c r="M212" s="601"/>
    </row>
    <row r="213" spans="2:20" ht="33" customHeight="1">
      <c r="B213" s="934" t="s">
        <v>85</v>
      </c>
      <c r="C213" s="935">
        <v>83</v>
      </c>
      <c r="D213" s="936">
        <v>740</v>
      </c>
      <c r="E213" s="937">
        <v>341001</v>
      </c>
      <c r="F213" s="958" t="s">
        <v>2175</v>
      </c>
      <c r="G213" s="938">
        <v>0</v>
      </c>
      <c r="H213" s="939">
        <v>30</v>
      </c>
      <c r="I213" s="938">
        <v>0</v>
      </c>
      <c r="J213" s="938">
        <v>0</v>
      </c>
      <c r="K213" s="940">
        <v>0</v>
      </c>
      <c r="M213" s="601"/>
      <c r="T213" s="591"/>
    </row>
    <row r="214" spans="2:20" ht="19.149999999999999" customHeight="1">
      <c r="B214" s="934" t="s">
        <v>85</v>
      </c>
      <c r="C214" s="935">
        <v>84</v>
      </c>
      <c r="D214" s="936">
        <v>770</v>
      </c>
      <c r="E214" s="937">
        <v>341001</v>
      </c>
      <c r="F214" s="101" t="s">
        <v>1878</v>
      </c>
      <c r="G214" s="938">
        <v>17</v>
      </c>
      <c r="H214" s="939">
        <v>120</v>
      </c>
      <c r="I214" s="938">
        <v>137</v>
      </c>
      <c r="J214" s="938">
        <v>137</v>
      </c>
      <c r="K214" s="940">
        <v>0</v>
      </c>
      <c r="M214" s="601"/>
    </row>
    <row r="215" spans="2:20" ht="19.149999999999999" customHeight="1">
      <c r="B215" s="934" t="s">
        <v>85</v>
      </c>
      <c r="C215" s="935">
        <v>84</v>
      </c>
      <c r="D215" s="936">
        <v>930</v>
      </c>
      <c r="E215" s="937">
        <v>341001</v>
      </c>
      <c r="F215" s="101" t="s">
        <v>1711</v>
      </c>
      <c r="G215" s="938">
        <v>6960</v>
      </c>
      <c r="H215" s="939">
        <v>6540</v>
      </c>
      <c r="I215" s="938">
        <v>6780</v>
      </c>
      <c r="J215" s="938">
        <v>6780</v>
      </c>
      <c r="K215" s="940">
        <v>5986.23</v>
      </c>
      <c r="L215" s="216"/>
      <c r="M215" s="601"/>
    </row>
    <row r="216" spans="2:20" ht="19.149999999999999" customHeight="1">
      <c r="B216" s="934" t="s">
        <v>85</v>
      </c>
      <c r="C216" s="935">
        <v>84</v>
      </c>
      <c r="D216" s="936">
        <v>930</v>
      </c>
      <c r="E216" s="937">
        <v>341002</v>
      </c>
      <c r="F216" s="101" t="s">
        <v>1505</v>
      </c>
      <c r="G216" s="938">
        <v>187</v>
      </c>
      <c r="H216" s="939">
        <v>183</v>
      </c>
      <c r="I216" s="938">
        <v>190</v>
      </c>
      <c r="J216" s="938">
        <v>190</v>
      </c>
      <c r="K216" s="940">
        <v>181.17599999999999</v>
      </c>
      <c r="L216" s="216"/>
      <c r="M216" s="601"/>
    </row>
    <row r="217" spans="2:20" ht="19.149999999999999" customHeight="1">
      <c r="B217" s="934" t="s">
        <v>85</v>
      </c>
      <c r="C217" s="935">
        <v>84</v>
      </c>
      <c r="D217" s="936">
        <v>930</v>
      </c>
      <c r="E217" s="937">
        <v>341003</v>
      </c>
      <c r="F217" s="101" t="s">
        <v>1506</v>
      </c>
      <c r="G217" s="938">
        <v>15</v>
      </c>
      <c r="H217" s="939">
        <v>15</v>
      </c>
      <c r="I217" s="938">
        <v>19</v>
      </c>
      <c r="J217" s="938">
        <v>19</v>
      </c>
      <c r="K217" s="940">
        <v>50.070999999999998</v>
      </c>
      <c r="L217" s="216"/>
      <c r="M217" s="601"/>
    </row>
    <row r="218" spans="2:20" ht="14">
      <c r="B218" s="934" t="s">
        <v>85</v>
      </c>
      <c r="C218" s="935">
        <v>84</v>
      </c>
      <c r="D218" s="936">
        <v>930</v>
      </c>
      <c r="E218" s="937">
        <v>341004</v>
      </c>
      <c r="F218" s="101" t="s">
        <v>1641</v>
      </c>
      <c r="G218" s="938">
        <v>25</v>
      </c>
      <c r="H218" s="939">
        <v>0</v>
      </c>
      <c r="I218" s="938">
        <v>45</v>
      </c>
      <c r="J218" s="938">
        <v>45</v>
      </c>
      <c r="K218" s="940">
        <v>23.35</v>
      </c>
      <c r="L218" s="216"/>
      <c r="M218" s="601"/>
    </row>
    <row r="219" spans="2:20" ht="19.149999999999999" customHeight="1">
      <c r="B219" s="1016"/>
      <c r="C219" s="1017"/>
      <c r="D219" s="1018"/>
      <c r="E219" s="1019" t="s">
        <v>978</v>
      </c>
      <c r="F219" s="1020" t="s">
        <v>224</v>
      </c>
      <c r="G219" s="1021">
        <f>SUM(G213:G218)</f>
        <v>7204</v>
      </c>
      <c r="H219" s="1022">
        <f>SUM(H213:H218)</f>
        <v>6888</v>
      </c>
      <c r="I219" s="1021">
        <f>SUM(I213:I218)</f>
        <v>7171</v>
      </c>
      <c r="J219" s="1021">
        <f>SUM(J213:J218)</f>
        <v>7171</v>
      </c>
      <c r="K219" s="1023">
        <f>SUM(K213:K218)</f>
        <v>6240.8270000000002</v>
      </c>
      <c r="L219" s="216"/>
      <c r="M219" s="601"/>
    </row>
    <row r="220" spans="2:20" ht="19.149999999999999" customHeight="1">
      <c r="B220" s="922"/>
      <c r="C220" s="932"/>
      <c r="D220" s="924"/>
      <c r="E220" s="925" t="s">
        <v>225</v>
      </c>
      <c r="F220" s="926" t="s">
        <v>87</v>
      </c>
      <c r="G220" s="927"/>
      <c r="H220" s="930"/>
      <c r="I220" s="927"/>
      <c r="J220" s="927"/>
      <c r="K220" s="957"/>
      <c r="L220" s="216"/>
      <c r="M220" s="601"/>
    </row>
    <row r="221" spans="2:20" ht="28">
      <c r="B221" s="934" t="s">
        <v>87</v>
      </c>
      <c r="C221" s="935">
        <v>84</v>
      </c>
      <c r="D221" s="936">
        <v>932</v>
      </c>
      <c r="E221" s="937">
        <v>342200</v>
      </c>
      <c r="F221" s="958" t="s">
        <v>1580</v>
      </c>
      <c r="G221" s="938">
        <v>38</v>
      </c>
      <c r="H221" s="939">
        <v>38</v>
      </c>
      <c r="I221" s="938">
        <v>38</v>
      </c>
      <c r="J221" s="938">
        <v>38</v>
      </c>
      <c r="K221" s="940">
        <v>37.5</v>
      </c>
      <c r="L221" s="216"/>
      <c r="M221" s="601"/>
    </row>
    <row r="222" spans="2:20" ht="19.149999999999999" customHeight="1">
      <c r="B222" s="934" t="s">
        <v>87</v>
      </c>
      <c r="C222" s="935">
        <v>84</v>
      </c>
      <c r="D222" s="936">
        <v>930</v>
      </c>
      <c r="E222" s="937">
        <v>342201</v>
      </c>
      <c r="F222" s="945" t="s">
        <v>1444</v>
      </c>
      <c r="G222" s="938">
        <v>225</v>
      </c>
      <c r="H222" s="939">
        <v>210</v>
      </c>
      <c r="I222" s="938">
        <v>229</v>
      </c>
      <c r="J222" s="938">
        <v>39</v>
      </c>
      <c r="K222" s="940">
        <v>113.247</v>
      </c>
      <c r="L222" s="216"/>
      <c r="M222" s="601"/>
    </row>
    <row r="223" spans="2:20" ht="19.149999999999999" customHeight="1">
      <c r="B223" s="934" t="s">
        <v>87</v>
      </c>
      <c r="C223" s="935">
        <v>84</v>
      </c>
      <c r="D223" s="936">
        <v>421</v>
      </c>
      <c r="E223" s="937">
        <v>342202</v>
      </c>
      <c r="F223" s="945" t="s">
        <v>1578</v>
      </c>
      <c r="G223" s="938">
        <v>150</v>
      </c>
      <c r="H223" s="939">
        <v>94</v>
      </c>
      <c r="I223" s="938">
        <v>300</v>
      </c>
      <c r="J223" s="938">
        <v>300</v>
      </c>
      <c r="K223" s="940">
        <v>155.63312999999999</v>
      </c>
      <c r="M223" s="601"/>
    </row>
    <row r="224" spans="2:20" ht="28">
      <c r="B224" s="934" t="s">
        <v>87</v>
      </c>
      <c r="C224" s="935">
        <v>84</v>
      </c>
      <c r="D224" s="936">
        <v>740</v>
      </c>
      <c r="E224" s="1096">
        <v>342202</v>
      </c>
      <c r="F224" s="1097" t="s">
        <v>2303</v>
      </c>
      <c r="G224" s="938">
        <v>0</v>
      </c>
      <c r="H224" s="939">
        <v>127</v>
      </c>
      <c r="I224" s="938">
        <v>127</v>
      </c>
      <c r="J224" s="938">
        <v>0</v>
      </c>
      <c r="K224" s="940">
        <v>0</v>
      </c>
      <c r="M224" s="601"/>
    </row>
    <row r="225" spans="2:13" ht="32.25" customHeight="1">
      <c r="B225" s="934" t="s">
        <v>87</v>
      </c>
      <c r="C225" s="935">
        <v>84</v>
      </c>
      <c r="D225" s="936">
        <v>930</v>
      </c>
      <c r="E225" s="937">
        <v>342202</v>
      </c>
      <c r="F225" s="1098" t="s">
        <v>2130</v>
      </c>
      <c r="G225" s="938">
        <v>750</v>
      </c>
      <c r="H225" s="939">
        <v>750</v>
      </c>
      <c r="I225" s="938">
        <v>668</v>
      </c>
      <c r="J225" s="938">
        <v>405</v>
      </c>
      <c r="K225" s="940">
        <v>519.79700000000003</v>
      </c>
      <c r="L225" s="216"/>
      <c r="M225" s="601"/>
    </row>
    <row r="226" spans="2:13" ht="19.149999999999999" customHeight="1">
      <c r="B226" s="934" t="s">
        <v>87</v>
      </c>
      <c r="C226" s="935">
        <v>84</v>
      </c>
      <c r="D226" s="936">
        <v>931</v>
      </c>
      <c r="E226" s="937">
        <v>342202</v>
      </c>
      <c r="F226" s="945" t="s">
        <v>1722</v>
      </c>
      <c r="G226" s="938">
        <v>70</v>
      </c>
      <c r="H226" s="939">
        <v>47</v>
      </c>
      <c r="I226" s="938">
        <v>70</v>
      </c>
      <c r="J226" s="938">
        <v>70</v>
      </c>
      <c r="K226" s="940">
        <v>71.45</v>
      </c>
      <c r="L226" s="216"/>
      <c r="M226" s="601"/>
    </row>
    <row r="227" spans="2:13" ht="28">
      <c r="B227" s="934" t="s">
        <v>87</v>
      </c>
      <c r="C227" s="935">
        <v>84</v>
      </c>
      <c r="D227" s="936">
        <v>930</v>
      </c>
      <c r="E227" s="937">
        <v>342204</v>
      </c>
      <c r="F227" s="1098" t="s">
        <v>2138</v>
      </c>
      <c r="G227" s="938">
        <v>0</v>
      </c>
      <c r="H227" s="939">
        <v>0</v>
      </c>
      <c r="I227" s="938">
        <v>0</v>
      </c>
      <c r="J227" s="938">
        <v>263</v>
      </c>
      <c r="K227" s="940">
        <v>312.108</v>
      </c>
      <c r="L227" s="216"/>
      <c r="M227" s="601"/>
    </row>
    <row r="228" spans="2:13" ht="19.149999999999999" customHeight="1">
      <c r="B228" s="934" t="s">
        <v>87</v>
      </c>
      <c r="C228" s="935">
        <v>84</v>
      </c>
      <c r="D228" s="936">
        <v>930</v>
      </c>
      <c r="E228" s="937">
        <v>342205</v>
      </c>
      <c r="F228" s="945" t="s">
        <v>1445</v>
      </c>
      <c r="G228" s="938">
        <v>4</v>
      </c>
      <c r="H228" s="939">
        <v>0</v>
      </c>
      <c r="I228" s="938">
        <v>7</v>
      </c>
      <c r="J228" s="938">
        <v>7</v>
      </c>
      <c r="K228" s="940">
        <v>0</v>
      </c>
      <c r="L228" s="216"/>
      <c r="M228" s="601"/>
    </row>
    <row r="229" spans="2:13" ht="19.149999999999999" customHeight="1">
      <c r="B229" s="934" t="s">
        <v>87</v>
      </c>
      <c r="C229" s="935">
        <v>84</v>
      </c>
      <c r="D229" s="936">
        <v>930</v>
      </c>
      <c r="E229" s="937">
        <v>342206</v>
      </c>
      <c r="F229" s="945" t="s">
        <v>1446</v>
      </c>
      <c r="G229" s="938">
        <v>113</v>
      </c>
      <c r="H229" s="939">
        <v>105</v>
      </c>
      <c r="I229" s="938">
        <v>113</v>
      </c>
      <c r="J229" s="938">
        <v>113</v>
      </c>
      <c r="K229" s="940">
        <v>139.691</v>
      </c>
      <c r="L229" s="216"/>
      <c r="M229" s="601"/>
    </row>
    <row r="230" spans="2:13" ht="19.149999999999999" customHeight="1">
      <c r="B230" s="934" t="s">
        <v>87</v>
      </c>
      <c r="C230" s="935">
        <v>84</v>
      </c>
      <c r="D230" s="936">
        <v>420</v>
      </c>
      <c r="E230" s="937">
        <v>342401</v>
      </c>
      <c r="F230" s="945" t="s">
        <v>1524</v>
      </c>
      <c r="G230" s="938">
        <v>14</v>
      </c>
      <c r="H230" s="939">
        <v>10</v>
      </c>
      <c r="I230" s="938">
        <v>14</v>
      </c>
      <c r="J230" s="938">
        <v>14</v>
      </c>
      <c r="K230" s="940">
        <v>13.57</v>
      </c>
      <c r="M230" s="601"/>
    </row>
    <row r="231" spans="2:13" ht="19.149999999999999" customHeight="1">
      <c r="B231" s="934" t="s">
        <v>87</v>
      </c>
      <c r="C231" s="935">
        <v>84</v>
      </c>
      <c r="D231" s="936">
        <v>930</v>
      </c>
      <c r="E231" s="937">
        <v>342401</v>
      </c>
      <c r="F231" s="945" t="s">
        <v>1449</v>
      </c>
      <c r="G231" s="938">
        <v>350</v>
      </c>
      <c r="H231" s="939">
        <v>350</v>
      </c>
      <c r="I231" s="938">
        <v>400</v>
      </c>
      <c r="J231" s="938">
        <v>400</v>
      </c>
      <c r="K231" s="940">
        <v>347.95299999999997</v>
      </c>
      <c r="L231" s="216"/>
      <c r="M231" s="601"/>
    </row>
    <row r="232" spans="2:13" ht="19.149999999999999" customHeight="1">
      <c r="B232" s="934" t="s">
        <v>87</v>
      </c>
      <c r="C232" s="935">
        <v>84</v>
      </c>
      <c r="D232" s="936">
        <v>930</v>
      </c>
      <c r="E232" s="937">
        <v>342402</v>
      </c>
      <c r="F232" s="945" t="s">
        <v>1993</v>
      </c>
      <c r="G232" s="938">
        <v>96</v>
      </c>
      <c r="H232" s="939">
        <v>90</v>
      </c>
      <c r="I232" s="938">
        <v>32</v>
      </c>
      <c r="J232" s="938">
        <v>32</v>
      </c>
      <c r="K232" s="940">
        <v>67.384</v>
      </c>
      <c r="L232" s="216"/>
      <c r="M232" s="601"/>
    </row>
    <row r="233" spans="2:13" ht="19.149999999999999" customHeight="1">
      <c r="B233" s="934" t="s">
        <v>87</v>
      </c>
      <c r="C233" s="935">
        <v>84</v>
      </c>
      <c r="D233" s="936">
        <v>930</v>
      </c>
      <c r="E233" s="937">
        <v>342404</v>
      </c>
      <c r="F233" s="945" t="s">
        <v>1723</v>
      </c>
      <c r="G233" s="938">
        <v>10</v>
      </c>
      <c r="H233" s="939">
        <v>7</v>
      </c>
      <c r="I233" s="938">
        <v>11</v>
      </c>
      <c r="J233" s="938">
        <v>11</v>
      </c>
      <c r="K233" s="940">
        <v>3.0529999999999999</v>
      </c>
      <c r="L233" s="216"/>
      <c r="M233" s="601"/>
    </row>
    <row r="234" spans="2:13" ht="19.149999999999999" customHeight="1">
      <c r="B234" s="1016"/>
      <c r="C234" s="1017"/>
      <c r="D234" s="1018"/>
      <c r="E234" s="1019" t="s">
        <v>225</v>
      </c>
      <c r="F234" s="1020" t="s">
        <v>728</v>
      </c>
      <c r="G234" s="1021">
        <f>SUM(G221:G233)</f>
        <v>1820</v>
      </c>
      <c r="H234" s="1022">
        <f>SUM(H221:H233)</f>
        <v>1828</v>
      </c>
      <c r="I234" s="1021">
        <f>SUM(I221:I233)</f>
        <v>2009</v>
      </c>
      <c r="J234" s="1021">
        <f>SUM(J221:J233)</f>
        <v>1692</v>
      </c>
      <c r="K234" s="1023">
        <f>SUM(K221:K233)</f>
        <v>1781.3861300000001</v>
      </c>
      <c r="L234" s="216"/>
      <c r="M234" s="601"/>
    </row>
    <row r="235" spans="2:13" ht="19.149999999999999" customHeight="1">
      <c r="B235" s="922"/>
      <c r="C235" s="932"/>
      <c r="D235" s="924"/>
      <c r="E235" s="925" t="s">
        <v>412</v>
      </c>
      <c r="F235" s="926" t="s">
        <v>413</v>
      </c>
      <c r="G235" s="927"/>
      <c r="H235" s="930"/>
      <c r="I235" s="927"/>
      <c r="J235" s="927"/>
      <c r="K235" s="957"/>
      <c r="L235" s="216"/>
      <c r="M235" s="601"/>
    </row>
    <row r="236" spans="2:13" ht="19.149999999999999" customHeight="1">
      <c r="B236" s="934" t="s">
        <v>413</v>
      </c>
      <c r="C236" s="935">
        <v>84</v>
      </c>
      <c r="D236" s="936">
        <v>930</v>
      </c>
      <c r="E236" s="937">
        <v>343501</v>
      </c>
      <c r="F236" s="945" t="s">
        <v>1450</v>
      </c>
      <c r="G236" s="938">
        <v>428</v>
      </c>
      <c r="H236" s="939">
        <v>420</v>
      </c>
      <c r="I236" s="938">
        <v>338</v>
      </c>
      <c r="J236" s="938">
        <v>338</v>
      </c>
      <c r="K236" s="940">
        <v>429.863</v>
      </c>
      <c r="L236" s="216"/>
      <c r="M236" s="601"/>
    </row>
    <row r="237" spans="2:13" ht="19.149999999999999" customHeight="1">
      <c r="B237" s="934" t="s">
        <v>413</v>
      </c>
      <c r="C237" s="935">
        <v>84</v>
      </c>
      <c r="D237" s="936">
        <v>930</v>
      </c>
      <c r="E237" s="937">
        <v>343502</v>
      </c>
      <c r="F237" s="945" t="s">
        <v>2214</v>
      </c>
      <c r="G237" s="938">
        <v>50</v>
      </c>
      <c r="H237" s="939">
        <v>50</v>
      </c>
      <c r="I237" s="938">
        <v>33</v>
      </c>
      <c r="J237" s="938">
        <v>33</v>
      </c>
      <c r="K237" s="940">
        <v>37.347999999999999</v>
      </c>
      <c r="L237" s="216"/>
      <c r="M237" s="601"/>
    </row>
    <row r="238" spans="2:13" ht="19.149999999999999" customHeight="1">
      <c r="B238" s="934" t="s">
        <v>413</v>
      </c>
      <c r="C238" s="935">
        <v>84</v>
      </c>
      <c r="D238" s="936">
        <v>931</v>
      </c>
      <c r="E238" s="937">
        <v>343502</v>
      </c>
      <c r="F238" s="945" t="s">
        <v>2215</v>
      </c>
      <c r="G238" s="938">
        <v>65</v>
      </c>
      <c r="H238" s="939">
        <v>63</v>
      </c>
      <c r="I238" s="938">
        <v>50</v>
      </c>
      <c r="J238" s="938">
        <v>50</v>
      </c>
      <c r="K238" s="940">
        <v>59.142000000000003</v>
      </c>
      <c r="L238" s="216"/>
      <c r="M238" s="601"/>
    </row>
    <row r="239" spans="2:13" ht="19.149999999999999" customHeight="1">
      <c r="B239" s="934" t="s">
        <v>413</v>
      </c>
      <c r="C239" s="935">
        <v>84</v>
      </c>
      <c r="D239" s="936">
        <v>930</v>
      </c>
      <c r="E239" s="937">
        <v>343503</v>
      </c>
      <c r="F239" s="945" t="s">
        <v>1452</v>
      </c>
      <c r="G239" s="938">
        <v>525</v>
      </c>
      <c r="H239" s="939">
        <v>495</v>
      </c>
      <c r="I239" s="938">
        <v>450</v>
      </c>
      <c r="J239" s="938">
        <v>450</v>
      </c>
      <c r="K239" s="940">
        <v>546.62900000000002</v>
      </c>
      <c r="L239" s="216"/>
      <c r="M239" s="601"/>
    </row>
    <row r="240" spans="2:13" ht="19.149999999999999" customHeight="1">
      <c r="B240" s="934" t="s">
        <v>413</v>
      </c>
      <c r="C240" s="935">
        <v>84</v>
      </c>
      <c r="D240" s="936">
        <v>420</v>
      </c>
      <c r="E240" s="937">
        <v>343504</v>
      </c>
      <c r="F240" s="945" t="s">
        <v>1507</v>
      </c>
      <c r="G240" s="938">
        <v>84</v>
      </c>
      <c r="H240" s="939">
        <v>41</v>
      </c>
      <c r="I240" s="938">
        <v>76</v>
      </c>
      <c r="J240" s="938">
        <v>76</v>
      </c>
      <c r="K240" s="940">
        <v>64.042019999999994</v>
      </c>
      <c r="M240" s="601"/>
    </row>
    <row r="241" spans="2:13" ht="19.149999999999999" customHeight="1">
      <c r="B241" s="934" t="s">
        <v>413</v>
      </c>
      <c r="C241" s="935">
        <v>84</v>
      </c>
      <c r="D241" s="936">
        <v>920</v>
      </c>
      <c r="E241" s="937">
        <v>343504</v>
      </c>
      <c r="F241" s="945" t="s">
        <v>1879</v>
      </c>
      <c r="G241" s="938">
        <v>540</v>
      </c>
      <c r="H241" s="939">
        <v>540</v>
      </c>
      <c r="I241" s="938">
        <v>528</v>
      </c>
      <c r="J241" s="938">
        <v>528</v>
      </c>
      <c r="K241" s="940">
        <v>549.13075000000003</v>
      </c>
      <c r="L241" s="216"/>
      <c r="M241" s="601"/>
    </row>
    <row r="242" spans="2:13" ht="19.149999999999999" customHeight="1">
      <c r="B242" s="934" t="s">
        <v>413</v>
      </c>
      <c r="C242" s="935">
        <v>84</v>
      </c>
      <c r="D242" s="936">
        <v>930</v>
      </c>
      <c r="E242" s="937">
        <v>343504</v>
      </c>
      <c r="F242" s="945" t="s">
        <v>1455</v>
      </c>
      <c r="G242" s="938">
        <v>510</v>
      </c>
      <c r="H242" s="939">
        <v>350</v>
      </c>
      <c r="I242" s="938">
        <v>354</v>
      </c>
      <c r="J242" s="938">
        <v>354</v>
      </c>
      <c r="K242" s="940">
        <v>469.197</v>
      </c>
      <c r="L242" s="216"/>
      <c r="M242" s="601"/>
    </row>
    <row r="243" spans="2:13" ht="19.149999999999999" customHeight="1">
      <c r="B243" s="934" t="s">
        <v>413</v>
      </c>
      <c r="C243" s="935">
        <v>84</v>
      </c>
      <c r="D243" s="936">
        <v>930</v>
      </c>
      <c r="E243" s="937">
        <v>343506</v>
      </c>
      <c r="F243" s="945" t="s">
        <v>1456</v>
      </c>
      <c r="G243" s="938">
        <v>120</v>
      </c>
      <c r="H243" s="939">
        <v>115</v>
      </c>
      <c r="I243" s="938">
        <v>100</v>
      </c>
      <c r="J243" s="938">
        <v>100</v>
      </c>
      <c r="K243" s="940">
        <v>89.713999999999999</v>
      </c>
      <c r="L243" s="216"/>
      <c r="M243" s="601"/>
    </row>
    <row r="244" spans="2:13" ht="19.149999999999999" customHeight="1">
      <c r="B244" s="934" t="s">
        <v>413</v>
      </c>
      <c r="C244" s="935">
        <v>84</v>
      </c>
      <c r="D244" s="936">
        <v>930</v>
      </c>
      <c r="E244" s="937">
        <v>343507</v>
      </c>
      <c r="F244" s="945" t="s">
        <v>1539</v>
      </c>
      <c r="G244" s="938">
        <v>0</v>
      </c>
      <c r="H244" s="939">
        <v>0</v>
      </c>
      <c r="I244" s="938">
        <v>5</v>
      </c>
      <c r="J244" s="938">
        <v>5</v>
      </c>
      <c r="K244" s="940">
        <v>0</v>
      </c>
      <c r="L244" s="216"/>
      <c r="M244" s="601"/>
    </row>
    <row r="245" spans="2:13" ht="19.149999999999999" customHeight="1">
      <c r="B245" s="934" t="s">
        <v>413</v>
      </c>
      <c r="C245" s="935">
        <v>84</v>
      </c>
      <c r="D245" s="936">
        <v>420</v>
      </c>
      <c r="E245" s="937">
        <v>343801</v>
      </c>
      <c r="F245" s="945" t="s">
        <v>1508</v>
      </c>
      <c r="G245" s="938">
        <v>144</v>
      </c>
      <c r="H245" s="939">
        <v>130</v>
      </c>
      <c r="I245" s="938">
        <v>116</v>
      </c>
      <c r="J245" s="938">
        <v>116</v>
      </c>
      <c r="K245" s="940">
        <v>80.695999999999998</v>
      </c>
      <c r="M245" s="601"/>
    </row>
    <row r="246" spans="2:13" ht="19.149999999999999" customHeight="1">
      <c r="B246" s="934" t="s">
        <v>413</v>
      </c>
      <c r="C246" s="935">
        <v>84</v>
      </c>
      <c r="D246" s="936">
        <v>930</v>
      </c>
      <c r="E246" s="937">
        <v>343801</v>
      </c>
      <c r="F246" s="945" t="s">
        <v>1457</v>
      </c>
      <c r="G246" s="938">
        <v>3820</v>
      </c>
      <c r="H246" s="939">
        <v>3760</v>
      </c>
      <c r="I246" s="938">
        <v>3642</v>
      </c>
      <c r="J246" s="938">
        <v>3892</v>
      </c>
      <c r="K246" s="940">
        <v>3933.884</v>
      </c>
      <c r="L246" s="216"/>
      <c r="M246" s="601"/>
    </row>
    <row r="247" spans="2:13" ht="19.149999999999999" customHeight="1">
      <c r="B247" s="934" t="s">
        <v>413</v>
      </c>
      <c r="C247" s="935">
        <v>84</v>
      </c>
      <c r="D247" s="936">
        <v>930</v>
      </c>
      <c r="E247" s="937">
        <v>343901</v>
      </c>
      <c r="F247" s="945" t="s">
        <v>1459</v>
      </c>
      <c r="G247" s="938">
        <v>1080</v>
      </c>
      <c r="H247" s="939">
        <v>900</v>
      </c>
      <c r="I247" s="938">
        <v>973</v>
      </c>
      <c r="J247" s="938">
        <v>1170</v>
      </c>
      <c r="K247" s="940">
        <v>1068.3119999999999</v>
      </c>
      <c r="L247" s="216"/>
      <c r="M247" s="601"/>
    </row>
    <row r="248" spans="2:13" ht="19.149999999999999" customHeight="1">
      <c r="B248" s="982"/>
      <c r="C248" s="983"/>
      <c r="D248" s="984"/>
      <c r="E248" s="985" t="s">
        <v>412</v>
      </c>
      <c r="F248" s="986" t="s">
        <v>80</v>
      </c>
      <c r="G248" s="987">
        <f>SUM(G236:G247)</f>
        <v>7366</v>
      </c>
      <c r="H248" s="988">
        <f>SUM(H236:H247)</f>
        <v>6864</v>
      </c>
      <c r="I248" s="987">
        <f>SUM(I236:I247)</f>
        <v>6665</v>
      </c>
      <c r="J248" s="987">
        <f>SUM(J236:J247)</f>
        <v>7112</v>
      </c>
      <c r="K248" s="989">
        <f>SUM(K236:K247)</f>
        <v>7327.95777</v>
      </c>
      <c r="L248" s="216"/>
      <c r="M248" s="601"/>
    </row>
    <row r="249" spans="2:13" ht="19.149999999999999" customHeight="1">
      <c r="B249" s="922"/>
      <c r="C249" s="932"/>
      <c r="D249" s="924"/>
      <c r="E249" s="925" t="s">
        <v>990</v>
      </c>
      <c r="F249" s="926" t="s">
        <v>1106</v>
      </c>
      <c r="G249" s="927"/>
      <c r="H249" s="930"/>
      <c r="I249" s="927"/>
      <c r="J249" s="927"/>
      <c r="K249" s="957"/>
      <c r="L249" s="216"/>
      <c r="M249" s="601"/>
    </row>
    <row r="250" spans="2:13" ht="19.149999999999999" customHeight="1">
      <c r="B250" s="934" t="s">
        <v>1106</v>
      </c>
      <c r="C250" s="935">
        <v>84</v>
      </c>
      <c r="D250" s="936">
        <v>420</v>
      </c>
      <c r="E250" s="937">
        <v>344301</v>
      </c>
      <c r="F250" s="101" t="s">
        <v>1509</v>
      </c>
      <c r="G250" s="938">
        <v>480</v>
      </c>
      <c r="H250" s="939">
        <v>480</v>
      </c>
      <c r="I250" s="938">
        <v>480</v>
      </c>
      <c r="J250" s="938">
        <v>480</v>
      </c>
      <c r="K250" s="940">
        <v>557.64735999999994</v>
      </c>
      <c r="M250" s="601"/>
    </row>
    <row r="251" spans="2:13" ht="19.149999999999999" customHeight="1">
      <c r="B251" s="934" t="s">
        <v>1106</v>
      </c>
      <c r="C251" s="935">
        <v>84</v>
      </c>
      <c r="D251" s="936">
        <v>930</v>
      </c>
      <c r="E251" s="937">
        <v>344301</v>
      </c>
      <c r="F251" s="101" t="s">
        <v>1460</v>
      </c>
      <c r="G251" s="938">
        <v>3355</v>
      </c>
      <c r="H251" s="939">
        <v>3038</v>
      </c>
      <c r="I251" s="938">
        <v>2888</v>
      </c>
      <c r="J251" s="938">
        <v>2745</v>
      </c>
      <c r="K251" s="940">
        <v>2622.288</v>
      </c>
      <c r="L251" s="216"/>
      <c r="M251" s="601"/>
    </row>
    <row r="252" spans="2:13" ht="19.149999999999999" customHeight="1">
      <c r="B252" s="934" t="s">
        <v>1106</v>
      </c>
      <c r="C252" s="935">
        <v>84</v>
      </c>
      <c r="D252" s="936">
        <v>930</v>
      </c>
      <c r="E252" s="937">
        <v>344302</v>
      </c>
      <c r="F252" s="101" t="s">
        <v>1461</v>
      </c>
      <c r="G252" s="938">
        <v>22</v>
      </c>
      <c r="H252" s="939">
        <v>11</v>
      </c>
      <c r="I252" s="938">
        <v>15</v>
      </c>
      <c r="J252" s="938">
        <v>15</v>
      </c>
      <c r="K252" s="940">
        <v>19.681999999999999</v>
      </c>
      <c r="L252" s="216"/>
      <c r="M252" s="601"/>
    </row>
    <row r="253" spans="2:13" ht="19.149999999999999" customHeight="1">
      <c r="B253" s="934" t="s">
        <v>1106</v>
      </c>
      <c r="C253" s="935">
        <v>84</v>
      </c>
      <c r="D253" s="936">
        <v>930</v>
      </c>
      <c r="E253" s="937">
        <v>344303</v>
      </c>
      <c r="F253" s="101" t="s">
        <v>1644</v>
      </c>
      <c r="G253" s="938">
        <v>300</v>
      </c>
      <c r="H253" s="939">
        <v>245</v>
      </c>
      <c r="I253" s="938">
        <v>225</v>
      </c>
      <c r="J253" s="938">
        <v>280</v>
      </c>
      <c r="K253" s="940">
        <v>234.39</v>
      </c>
      <c r="L253" s="216"/>
      <c r="M253" s="601"/>
    </row>
    <row r="254" spans="2:13" ht="19.149999999999999" customHeight="1">
      <c r="B254" s="934" t="s">
        <v>1106</v>
      </c>
      <c r="C254" s="935">
        <v>84</v>
      </c>
      <c r="D254" s="936">
        <v>930</v>
      </c>
      <c r="E254" s="937">
        <v>344401</v>
      </c>
      <c r="F254" s="101" t="s">
        <v>1510</v>
      </c>
      <c r="G254" s="938">
        <v>130</v>
      </c>
      <c r="H254" s="939">
        <v>100</v>
      </c>
      <c r="I254" s="938">
        <v>100</v>
      </c>
      <c r="J254" s="938">
        <v>100</v>
      </c>
      <c r="K254" s="940">
        <v>68.412999999999997</v>
      </c>
      <c r="L254" s="216"/>
      <c r="M254" s="601"/>
    </row>
    <row r="255" spans="2:13" ht="19.149999999999999" customHeight="1">
      <c r="B255" s="934" t="s">
        <v>1106</v>
      </c>
      <c r="C255" s="935">
        <v>84</v>
      </c>
      <c r="D255" s="936">
        <v>930</v>
      </c>
      <c r="E255" s="937">
        <v>344402</v>
      </c>
      <c r="F255" s="101" t="s">
        <v>1465</v>
      </c>
      <c r="G255" s="938">
        <v>170</v>
      </c>
      <c r="H255" s="939">
        <v>150</v>
      </c>
      <c r="I255" s="938">
        <v>170</v>
      </c>
      <c r="J255" s="938">
        <v>170</v>
      </c>
      <c r="K255" s="940">
        <v>125.298</v>
      </c>
      <c r="L255" s="216"/>
      <c r="M255" s="601"/>
    </row>
    <row r="256" spans="2:13" ht="19.149999999999999" customHeight="1">
      <c r="B256" s="934" t="s">
        <v>1106</v>
      </c>
      <c r="C256" s="935">
        <v>84</v>
      </c>
      <c r="D256" s="936">
        <v>420</v>
      </c>
      <c r="E256" s="937">
        <v>344403</v>
      </c>
      <c r="F256" s="101" t="s">
        <v>1511</v>
      </c>
      <c r="G256" s="938">
        <v>50</v>
      </c>
      <c r="H256" s="939">
        <v>50</v>
      </c>
      <c r="I256" s="938">
        <v>46</v>
      </c>
      <c r="J256" s="938">
        <v>46</v>
      </c>
      <c r="K256" s="940">
        <v>45.646999999999998</v>
      </c>
      <c r="M256" s="601"/>
    </row>
    <row r="257" spans="2:13" ht="28">
      <c r="B257" s="934" t="s">
        <v>1106</v>
      </c>
      <c r="C257" s="935">
        <v>84</v>
      </c>
      <c r="D257" s="1095">
        <v>740</v>
      </c>
      <c r="E257" s="1096">
        <v>344403</v>
      </c>
      <c r="F257" s="408" t="s">
        <v>2307</v>
      </c>
      <c r="G257" s="938">
        <v>0</v>
      </c>
      <c r="H257" s="939">
        <v>272</v>
      </c>
      <c r="I257" s="938">
        <v>272</v>
      </c>
      <c r="J257" s="938">
        <v>0</v>
      </c>
      <c r="K257" s="940">
        <v>0</v>
      </c>
      <c r="M257" s="601"/>
    </row>
    <row r="258" spans="2:13" ht="28">
      <c r="B258" s="934" t="s">
        <v>1106</v>
      </c>
      <c r="C258" s="935">
        <v>84</v>
      </c>
      <c r="D258" s="1095">
        <v>793</v>
      </c>
      <c r="E258" s="1096">
        <v>344403</v>
      </c>
      <c r="F258" s="408" t="s">
        <v>2305</v>
      </c>
      <c r="G258" s="938">
        <v>300</v>
      </c>
      <c r="H258" s="939">
        <v>0</v>
      </c>
      <c r="I258" s="938">
        <v>100</v>
      </c>
      <c r="J258" s="938">
        <v>0</v>
      </c>
      <c r="K258" s="940">
        <v>0</v>
      </c>
      <c r="M258" s="601"/>
    </row>
    <row r="259" spans="2:13" ht="19.149999999999999" customHeight="1">
      <c r="B259" s="934" t="s">
        <v>1106</v>
      </c>
      <c r="C259" s="935">
        <v>84</v>
      </c>
      <c r="D259" s="936">
        <v>930</v>
      </c>
      <c r="E259" s="937">
        <v>344403</v>
      </c>
      <c r="F259" s="101" t="s">
        <v>1466</v>
      </c>
      <c r="G259" s="938">
        <v>450</v>
      </c>
      <c r="H259" s="939">
        <v>338</v>
      </c>
      <c r="I259" s="938">
        <v>450</v>
      </c>
      <c r="J259" s="938">
        <v>450</v>
      </c>
      <c r="K259" s="940">
        <v>418.17099999999999</v>
      </c>
      <c r="L259" s="216"/>
      <c r="M259" s="601"/>
    </row>
    <row r="260" spans="2:13" ht="19.149999999999999" customHeight="1">
      <c r="B260" s="934" t="s">
        <v>1106</v>
      </c>
      <c r="C260" s="935">
        <v>84</v>
      </c>
      <c r="D260" s="936">
        <v>931</v>
      </c>
      <c r="E260" s="937">
        <v>344403</v>
      </c>
      <c r="F260" s="958" t="s">
        <v>1825</v>
      </c>
      <c r="G260" s="938">
        <v>17</v>
      </c>
      <c r="H260" s="939">
        <v>9</v>
      </c>
      <c r="I260" s="938">
        <v>20</v>
      </c>
      <c r="J260" s="938">
        <v>20</v>
      </c>
      <c r="K260" s="940">
        <v>3.8519999999999999</v>
      </c>
      <c r="M260" s="601"/>
    </row>
    <row r="261" spans="2:13" ht="19.149999999999999" customHeight="1">
      <c r="B261" s="934" t="s">
        <v>1106</v>
      </c>
      <c r="C261" s="935">
        <v>84</v>
      </c>
      <c r="D261" s="936">
        <v>930</v>
      </c>
      <c r="E261" s="937">
        <v>344404</v>
      </c>
      <c r="F261" s="101" t="s">
        <v>1645</v>
      </c>
      <c r="G261" s="938">
        <v>520</v>
      </c>
      <c r="H261" s="939">
        <v>500</v>
      </c>
      <c r="I261" s="938">
        <v>515</v>
      </c>
      <c r="J261" s="938">
        <v>515</v>
      </c>
      <c r="K261" s="940">
        <v>490.63799999999998</v>
      </c>
      <c r="L261" s="216"/>
      <c r="M261" s="601"/>
    </row>
    <row r="262" spans="2:13" ht="19.149999999999999" customHeight="1">
      <c r="B262" s="934" t="s">
        <v>1106</v>
      </c>
      <c r="C262" s="935">
        <v>84</v>
      </c>
      <c r="D262" s="936">
        <v>931</v>
      </c>
      <c r="E262" s="937">
        <v>344404</v>
      </c>
      <c r="F262" s="101" t="s">
        <v>1745</v>
      </c>
      <c r="G262" s="938">
        <v>0</v>
      </c>
      <c r="H262" s="939">
        <v>0</v>
      </c>
      <c r="I262" s="938">
        <v>0</v>
      </c>
      <c r="J262" s="938">
        <v>0</v>
      </c>
      <c r="K262" s="940">
        <v>8.8780000000000001</v>
      </c>
      <c r="L262" s="216"/>
      <c r="M262" s="601"/>
    </row>
    <row r="263" spans="2:13" ht="19.149999999999999" customHeight="1">
      <c r="B263" s="934" t="s">
        <v>1106</v>
      </c>
      <c r="C263" s="935">
        <v>84</v>
      </c>
      <c r="D263" s="936">
        <v>932</v>
      </c>
      <c r="E263" s="937">
        <v>344404</v>
      </c>
      <c r="F263" s="101" t="s">
        <v>1742</v>
      </c>
      <c r="G263" s="938">
        <v>135</v>
      </c>
      <c r="H263" s="939">
        <v>135</v>
      </c>
      <c r="I263" s="938">
        <v>90</v>
      </c>
      <c r="J263" s="938">
        <v>90</v>
      </c>
      <c r="K263" s="940">
        <v>132.22300000000001</v>
      </c>
      <c r="L263" s="216"/>
      <c r="M263" s="601"/>
    </row>
    <row r="264" spans="2:13" ht="19.149999999999999" customHeight="1">
      <c r="B264" s="934" t="s">
        <v>1106</v>
      </c>
      <c r="C264" s="935">
        <v>84</v>
      </c>
      <c r="D264" s="936">
        <v>930</v>
      </c>
      <c r="E264" s="937">
        <v>344405</v>
      </c>
      <c r="F264" s="101" t="s">
        <v>1212</v>
      </c>
      <c r="G264" s="938">
        <v>62</v>
      </c>
      <c r="H264" s="939">
        <v>62</v>
      </c>
      <c r="I264" s="938">
        <v>64</v>
      </c>
      <c r="J264" s="938">
        <v>64</v>
      </c>
      <c r="K264" s="940">
        <v>59.402999999999999</v>
      </c>
      <c r="L264" s="216"/>
      <c r="M264" s="601"/>
    </row>
    <row r="265" spans="2:13" ht="19.149999999999999" customHeight="1">
      <c r="B265" s="934" t="s">
        <v>1106</v>
      </c>
      <c r="C265" s="935">
        <v>84</v>
      </c>
      <c r="D265" s="936">
        <v>420</v>
      </c>
      <c r="E265" s="937">
        <v>344406</v>
      </c>
      <c r="F265" s="101" t="s">
        <v>2212</v>
      </c>
      <c r="G265" s="938">
        <v>20</v>
      </c>
      <c r="H265" s="939">
        <v>0</v>
      </c>
      <c r="I265" s="938">
        <v>0</v>
      </c>
      <c r="J265" s="938">
        <v>0</v>
      </c>
      <c r="K265" s="940">
        <v>0</v>
      </c>
      <c r="L265" s="216"/>
      <c r="M265" s="601"/>
    </row>
    <row r="266" spans="2:13" ht="19.149999999999999" customHeight="1">
      <c r="B266" s="934" t="s">
        <v>1106</v>
      </c>
      <c r="C266" s="935">
        <v>84</v>
      </c>
      <c r="D266" s="936">
        <v>930</v>
      </c>
      <c r="E266" s="937">
        <v>344406</v>
      </c>
      <c r="F266" s="101" t="s">
        <v>1512</v>
      </c>
      <c r="G266" s="938">
        <v>0</v>
      </c>
      <c r="H266" s="939">
        <v>0</v>
      </c>
      <c r="I266" s="938">
        <v>220</v>
      </c>
      <c r="J266" s="938">
        <v>220</v>
      </c>
      <c r="K266" s="940">
        <v>127.92700000000001</v>
      </c>
      <c r="L266" s="216"/>
      <c r="M266" s="601"/>
    </row>
    <row r="267" spans="2:13" ht="19.149999999999999" customHeight="1">
      <c r="B267" s="934" t="s">
        <v>1106</v>
      </c>
      <c r="C267" s="935">
        <v>84</v>
      </c>
      <c r="D267" s="936">
        <v>420</v>
      </c>
      <c r="E267" s="937">
        <v>344501</v>
      </c>
      <c r="F267" s="101" t="s">
        <v>1513</v>
      </c>
      <c r="G267" s="938">
        <v>80</v>
      </c>
      <c r="H267" s="939">
        <v>55</v>
      </c>
      <c r="I267" s="938">
        <v>55</v>
      </c>
      <c r="J267" s="938">
        <v>55</v>
      </c>
      <c r="K267" s="940">
        <v>82.751999999999995</v>
      </c>
      <c r="M267" s="601"/>
    </row>
    <row r="268" spans="2:13" ht="19.149999999999999" customHeight="1">
      <c r="B268" s="934" t="s">
        <v>1106</v>
      </c>
      <c r="C268" s="935">
        <v>84</v>
      </c>
      <c r="D268" s="936">
        <v>930</v>
      </c>
      <c r="E268" s="937">
        <v>344501</v>
      </c>
      <c r="F268" s="101" t="s">
        <v>1467</v>
      </c>
      <c r="G268" s="938">
        <v>400</v>
      </c>
      <c r="H268" s="939">
        <v>380</v>
      </c>
      <c r="I268" s="938">
        <v>430</v>
      </c>
      <c r="J268" s="938">
        <v>405</v>
      </c>
      <c r="K268" s="940">
        <v>376.69499999999999</v>
      </c>
      <c r="L268" s="216"/>
      <c r="M268" s="601"/>
    </row>
    <row r="269" spans="2:13" ht="19.149999999999999" customHeight="1">
      <c r="B269" s="982"/>
      <c r="C269" s="983"/>
      <c r="D269" s="984"/>
      <c r="E269" s="985" t="s">
        <v>990</v>
      </c>
      <c r="F269" s="986" t="s">
        <v>1074</v>
      </c>
      <c r="G269" s="987">
        <f>SUM(G250:G268)</f>
        <v>6491</v>
      </c>
      <c r="H269" s="988">
        <f>SUM(H250:H268)</f>
        <v>5825</v>
      </c>
      <c r="I269" s="987">
        <f>SUM(I250:I268)</f>
        <v>6140</v>
      </c>
      <c r="J269" s="987">
        <f>SUM(J250:J268)</f>
        <v>5655</v>
      </c>
      <c r="K269" s="989">
        <f>SUM(K250:K268)</f>
        <v>5373.9043599999995</v>
      </c>
      <c r="L269" s="216"/>
      <c r="M269" s="601"/>
    </row>
    <row r="270" spans="2:13" ht="19.149999999999999" customHeight="1">
      <c r="B270" s="922"/>
      <c r="C270" s="932"/>
      <c r="D270" s="924"/>
      <c r="E270" s="925" t="s">
        <v>1075</v>
      </c>
      <c r="F270" s="926" t="s">
        <v>1076</v>
      </c>
      <c r="G270" s="927"/>
      <c r="H270" s="930"/>
      <c r="I270" s="927"/>
      <c r="J270" s="927"/>
      <c r="K270" s="957"/>
      <c r="L270" s="216"/>
      <c r="M270" s="601"/>
    </row>
    <row r="271" spans="2:13" ht="19.149999999999999" customHeight="1">
      <c r="B271" s="934" t="s">
        <v>1076</v>
      </c>
      <c r="C271" s="935">
        <v>84</v>
      </c>
      <c r="D271" s="936">
        <v>420</v>
      </c>
      <c r="E271" s="937">
        <v>345101</v>
      </c>
      <c r="F271" s="101" t="s">
        <v>1514</v>
      </c>
      <c r="G271" s="938">
        <v>0</v>
      </c>
      <c r="H271" s="939">
        <v>0</v>
      </c>
      <c r="I271" s="938">
        <v>0</v>
      </c>
      <c r="J271" s="938">
        <v>0</v>
      </c>
      <c r="K271" s="940">
        <v>150.70400000000001</v>
      </c>
      <c r="M271" s="601"/>
    </row>
    <row r="272" spans="2:13" ht="19.149999999999999" customHeight="1">
      <c r="B272" s="934" t="s">
        <v>1076</v>
      </c>
      <c r="C272" s="935">
        <v>84</v>
      </c>
      <c r="D272" s="936">
        <v>930</v>
      </c>
      <c r="E272" s="937">
        <v>345101</v>
      </c>
      <c r="F272" s="101" t="s">
        <v>1515</v>
      </c>
      <c r="G272" s="938">
        <v>0</v>
      </c>
      <c r="H272" s="939">
        <v>0</v>
      </c>
      <c r="I272" s="938">
        <v>0</v>
      </c>
      <c r="J272" s="938">
        <v>0</v>
      </c>
      <c r="K272" s="940">
        <v>119.408</v>
      </c>
      <c r="L272" s="216"/>
      <c r="M272" s="601"/>
    </row>
    <row r="273" spans="2:13" ht="19.149999999999999" customHeight="1">
      <c r="B273" s="934" t="s">
        <v>1076</v>
      </c>
      <c r="C273" s="935">
        <v>84</v>
      </c>
      <c r="D273" s="936">
        <v>930</v>
      </c>
      <c r="E273" s="937">
        <v>345102</v>
      </c>
      <c r="F273" s="101" t="s">
        <v>1469</v>
      </c>
      <c r="G273" s="938">
        <v>8</v>
      </c>
      <c r="H273" s="939">
        <v>8</v>
      </c>
      <c r="I273" s="938">
        <v>8</v>
      </c>
      <c r="J273" s="938">
        <v>8</v>
      </c>
      <c r="K273" s="940">
        <v>7.8230000000000004</v>
      </c>
      <c r="L273" s="216"/>
      <c r="M273" s="601"/>
    </row>
    <row r="274" spans="2:13" ht="19.149999999999999" customHeight="1">
      <c r="B274" s="934" t="s">
        <v>1076</v>
      </c>
      <c r="C274" s="935">
        <v>84</v>
      </c>
      <c r="D274" s="936">
        <v>930</v>
      </c>
      <c r="E274" s="937">
        <v>345103</v>
      </c>
      <c r="F274" s="101" t="s">
        <v>1470</v>
      </c>
      <c r="G274" s="938">
        <v>8</v>
      </c>
      <c r="H274" s="939">
        <v>8</v>
      </c>
      <c r="I274" s="938">
        <v>24</v>
      </c>
      <c r="J274" s="938">
        <v>24</v>
      </c>
      <c r="K274" s="940">
        <v>19.419</v>
      </c>
      <c r="L274" s="216"/>
      <c r="M274" s="601"/>
    </row>
    <row r="275" spans="2:13" ht="28">
      <c r="B275" s="934" t="s">
        <v>1076</v>
      </c>
      <c r="C275" s="935">
        <v>84</v>
      </c>
      <c r="D275" s="936">
        <v>930</v>
      </c>
      <c r="E275" s="937">
        <v>345104</v>
      </c>
      <c r="F275" s="958" t="s">
        <v>2126</v>
      </c>
      <c r="G275" s="938">
        <v>14850</v>
      </c>
      <c r="H275" s="939">
        <v>14775</v>
      </c>
      <c r="I275" s="938">
        <v>14502</v>
      </c>
      <c r="J275" s="938">
        <v>14137</v>
      </c>
      <c r="K275" s="940">
        <v>14019.165999999999</v>
      </c>
      <c r="L275" s="216"/>
      <c r="M275" s="601"/>
    </row>
    <row r="276" spans="2:13" ht="19.149999999999999" customHeight="1">
      <c r="B276" s="934" t="s">
        <v>1076</v>
      </c>
      <c r="C276" s="935">
        <v>84</v>
      </c>
      <c r="D276" s="936">
        <v>930</v>
      </c>
      <c r="E276" s="937">
        <v>345105</v>
      </c>
      <c r="F276" s="101" t="s">
        <v>1471</v>
      </c>
      <c r="G276" s="938">
        <v>4950</v>
      </c>
      <c r="H276" s="939">
        <v>4940</v>
      </c>
      <c r="I276" s="938">
        <v>4913</v>
      </c>
      <c r="J276" s="938">
        <v>4913</v>
      </c>
      <c r="K276" s="940">
        <v>4871.6589999999997</v>
      </c>
      <c r="L276" s="216"/>
      <c r="M276" s="601"/>
    </row>
    <row r="277" spans="2:13" ht="19.149999999999999" customHeight="1">
      <c r="B277" s="934" t="s">
        <v>1076</v>
      </c>
      <c r="C277" s="935">
        <v>84</v>
      </c>
      <c r="D277" s="936">
        <v>930</v>
      </c>
      <c r="E277" s="937">
        <v>345106</v>
      </c>
      <c r="F277" s="101" t="s">
        <v>2216</v>
      </c>
      <c r="G277" s="938">
        <v>9200</v>
      </c>
      <c r="H277" s="939">
        <v>8204</v>
      </c>
      <c r="I277" s="938">
        <v>7975</v>
      </c>
      <c r="J277" s="938">
        <v>7350</v>
      </c>
      <c r="K277" s="940">
        <v>7501.5379999999996</v>
      </c>
      <c r="L277" s="216"/>
      <c r="M277" s="601"/>
    </row>
    <row r="278" spans="2:13" ht="19.149999999999999" customHeight="1">
      <c r="B278" s="934" t="s">
        <v>1076</v>
      </c>
      <c r="C278" s="935">
        <v>84</v>
      </c>
      <c r="D278" s="936">
        <v>930</v>
      </c>
      <c r="E278" s="937">
        <v>345107</v>
      </c>
      <c r="F278" s="101" t="s">
        <v>1759</v>
      </c>
      <c r="G278" s="938">
        <v>270</v>
      </c>
      <c r="H278" s="939">
        <v>263</v>
      </c>
      <c r="I278" s="938">
        <v>293</v>
      </c>
      <c r="J278" s="938">
        <v>293</v>
      </c>
      <c r="K278" s="940">
        <v>249.72399999999999</v>
      </c>
      <c r="L278" s="216"/>
      <c r="M278" s="601"/>
    </row>
    <row r="279" spans="2:13" ht="19.149999999999999" customHeight="1">
      <c r="B279" s="934" t="s">
        <v>1076</v>
      </c>
      <c r="C279" s="935">
        <v>84</v>
      </c>
      <c r="D279" s="936">
        <v>930</v>
      </c>
      <c r="E279" s="937">
        <v>345108</v>
      </c>
      <c r="F279" s="101" t="s">
        <v>2103</v>
      </c>
      <c r="G279" s="938">
        <v>300</v>
      </c>
      <c r="H279" s="939">
        <v>290</v>
      </c>
      <c r="I279" s="938">
        <v>295</v>
      </c>
      <c r="J279" s="938">
        <v>351</v>
      </c>
      <c r="K279" s="940">
        <v>220.73699999999999</v>
      </c>
      <c r="L279" s="216"/>
      <c r="M279" s="601"/>
    </row>
    <row r="280" spans="2:13" ht="19.149999999999999" customHeight="1">
      <c r="B280" s="934" t="s">
        <v>1076</v>
      </c>
      <c r="C280" s="935">
        <v>84</v>
      </c>
      <c r="D280" s="936">
        <v>930</v>
      </c>
      <c r="E280" s="937">
        <v>345109</v>
      </c>
      <c r="F280" s="101" t="s">
        <v>2217</v>
      </c>
      <c r="G280" s="938">
        <v>63</v>
      </c>
      <c r="H280" s="939">
        <v>63</v>
      </c>
      <c r="I280" s="938">
        <v>83</v>
      </c>
      <c r="J280" s="938">
        <v>83</v>
      </c>
      <c r="K280" s="940">
        <v>59.546999999999997</v>
      </c>
      <c r="L280" s="216"/>
      <c r="M280" s="601"/>
    </row>
    <row r="281" spans="2:13" ht="19.149999999999999" customHeight="1">
      <c r="B281" s="934" t="s">
        <v>1076</v>
      </c>
      <c r="C281" s="935">
        <v>84</v>
      </c>
      <c r="D281" s="936">
        <v>930</v>
      </c>
      <c r="E281" s="937">
        <v>345110</v>
      </c>
      <c r="F281" s="101" t="s">
        <v>1844</v>
      </c>
      <c r="G281" s="938">
        <v>594</v>
      </c>
      <c r="H281" s="939">
        <v>594</v>
      </c>
      <c r="I281" s="938">
        <v>600</v>
      </c>
      <c r="J281" s="938">
        <v>495</v>
      </c>
      <c r="K281" s="940">
        <v>505.36500000000001</v>
      </c>
      <c r="L281" s="216"/>
      <c r="M281" s="601"/>
    </row>
    <row r="282" spans="2:13" ht="19.149999999999999" customHeight="1">
      <c r="B282" s="934" t="s">
        <v>1076</v>
      </c>
      <c r="C282" s="935">
        <v>84</v>
      </c>
      <c r="D282" s="936">
        <v>930</v>
      </c>
      <c r="E282" s="937">
        <v>345111</v>
      </c>
      <c r="F282" s="101" t="s">
        <v>1760</v>
      </c>
      <c r="G282" s="938">
        <v>45</v>
      </c>
      <c r="H282" s="939">
        <v>38</v>
      </c>
      <c r="I282" s="938">
        <v>38</v>
      </c>
      <c r="J282" s="938">
        <v>38</v>
      </c>
      <c r="K282" s="940">
        <v>42.677999999999997</v>
      </c>
      <c r="L282" s="216"/>
      <c r="M282" s="601"/>
    </row>
    <row r="283" spans="2:13" ht="19.149999999999999" customHeight="1">
      <c r="B283" s="934" t="s">
        <v>1076</v>
      </c>
      <c r="C283" s="935">
        <v>84</v>
      </c>
      <c r="D283" s="936">
        <v>930</v>
      </c>
      <c r="E283" s="937">
        <v>345201</v>
      </c>
      <c r="F283" s="101" t="s">
        <v>1516</v>
      </c>
      <c r="G283" s="938">
        <v>18</v>
      </c>
      <c r="H283" s="939">
        <v>15</v>
      </c>
      <c r="I283" s="938">
        <v>26</v>
      </c>
      <c r="J283" s="938">
        <v>26</v>
      </c>
      <c r="K283" s="940">
        <v>21.53</v>
      </c>
      <c r="L283" s="216"/>
      <c r="M283" s="601"/>
    </row>
    <row r="284" spans="2:13" ht="19.149999999999999" customHeight="1">
      <c r="B284" s="934" t="s">
        <v>1076</v>
      </c>
      <c r="C284" s="935">
        <v>84</v>
      </c>
      <c r="D284" s="936">
        <v>420</v>
      </c>
      <c r="E284" s="937">
        <v>345202</v>
      </c>
      <c r="F284" s="101" t="s">
        <v>1517</v>
      </c>
      <c r="G284" s="938">
        <v>60</v>
      </c>
      <c r="H284" s="939">
        <v>60</v>
      </c>
      <c r="I284" s="938">
        <v>48</v>
      </c>
      <c r="J284" s="938">
        <v>48</v>
      </c>
      <c r="K284" s="940">
        <v>39.923999999999999</v>
      </c>
      <c r="M284" s="601"/>
    </row>
    <row r="285" spans="2:13" ht="14">
      <c r="B285" s="934" t="s">
        <v>1076</v>
      </c>
      <c r="C285" s="935">
        <v>84</v>
      </c>
      <c r="D285" s="936">
        <v>930</v>
      </c>
      <c r="E285" s="937">
        <v>345202</v>
      </c>
      <c r="F285" s="958" t="s">
        <v>2127</v>
      </c>
      <c r="G285" s="938">
        <v>1260</v>
      </c>
      <c r="H285" s="939">
        <v>1215</v>
      </c>
      <c r="I285" s="938">
        <v>1169</v>
      </c>
      <c r="J285" s="938">
        <v>852</v>
      </c>
      <c r="K285" s="940">
        <v>1104.93</v>
      </c>
      <c r="L285" s="216"/>
      <c r="M285" s="601"/>
    </row>
    <row r="286" spans="2:13" ht="19.149999999999999" customHeight="1">
      <c r="B286" s="934" t="s">
        <v>1076</v>
      </c>
      <c r="C286" s="935">
        <v>84</v>
      </c>
      <c r="D286" s="936">
        <v>421</v>
      </c>
      <c r="E286" s="937">
        <v>345203</v>
      </c>
      <c r="F286" s="101" t="s">
        <v>1726</v>
      </c>
      <c r="G286" s="938">
        <v>70</v>
      </c>
      <c r="H286" s="939">
        <v>70</v>
      </c>
      <c r="I286" s="938">
        <v>70</v>
      </c>
      <c r="J286" s="938">
        <v>70</v>
      </c>
      <c r="K286" s="940">
        <v>68.313000000000002</v>
      </c>
      <c r="M286" s="601"/>
    </row>
    <row r="287" spans="2:13" ht="19.149999999999999" customHeight="1">
      <c r="B287" s="934" t="s">
        <v>1076</v>
      </c>
      <c r="C287" s="935">
        <v>84</v>
      </c>
      <c r="D287" s="936">
        <v>930</v>
      </c>
      <c r="E287" s="937">
        <v>345203</v>
      </c>
      <c r="F287" s="101" t="s">
        <v>1474</v>
      </c>
      <c r="G287" s="938">
        <v>428</v>
      </c>
      <c r="H287" s="939">
        <v>395</v>
      </c>
      <c r="I287" s="938">
        <v>407</v>
      </c>
      <c r="J287" s="938">
        <v>570</v>
      </c>
      <c r="K287" s="940">
        <v>454.06099999999998</v>
      </c>
      <c r="L287" s="216"/>
      <c r="M287" s="601"/>
    </row>
    <row r="288" spans="2:13" ht="28">
      <c r="B288" s="934" t="s">
        <v>1076</v>
      </c>
      <c r="C288" s="935">
        <v>84</v>
      </c>
      <c r="D288" s="936">
        <v>930</v>
      </c>
      <c r="E288" s="937">
        <v>345301</v>
      </c>
      <c r="F288" s="958" t="s">
        <v>2133</v>
      </c>
      <c r="G288" s="938">
        <v>0</v>
      </c>
      <c r="H288" s="939">
        <v>0</v>
      </c>
      <c r="I288" s="938">
        <v>0</v>
      </c>
      <c r="J288" s="938">
        <v>8</v>
      </c>
      <c r="K288" s="940">
        <v>5.657</v>
      </c>
      <c r="L288" s="216"/>
      <c r="M288" s="601"/>
    </row>
    <row r="289" spans="2:13" ht="19.149999999999999" customHeight="1">
      <c r="B289" s="934" t="s">
        <v>1076</v>
      </c>
      <c r="C289" s="935">
        <v>84</v>
      </c>
      <c r="D289" s="936">
        <v>420</v>
      </c>
      <c r="E289" s="937">
        <v>345302</v>
      </c>
      <c r="F289" s="101" t="s">
        <v>1518</v>
      </c>
      <c r="G289" s="938">
        <v>0</v>
      </c>
      <c r="H289" s="939">
        <v>1</v>
      </c>
      <c r="I289" s="938">
        <v>21</v>
      </c>
      <c r="J289" s="938">
        <v>21</v>
      </c>
      <c r="K289" s="940">
        <v>15.9091</v>
      </c>
      <c r="M289" s="601"/>
    </row>
    <row r="290" spans="2:13" ht="19.149999999999999" customHeight="1">
      <c r="B290" s="934" t="s">
        <v>1076</v>
      </c>
      <c r="C290" s="935">
        <v>84</v>
      </c>
      <c r="D290" s="936">
        <v>930</v>
      </c>
      <c r="E290" s="937">
        <v>345302</v>
      </c>
      <c r="F290" s="101" t="s">
        <v>1475</v>
      </c>
      <c r="G290" s="938">
        <v>300</v>
      </c>
      <c r="H290" s="939">
        <v>345</v>
      </c>
      <c r="I290" s="938">
        <v>328</v>
      </c>
      <c r="J290" s="938">
        <v>380</v>
      </c>
      <c r="K290" s="940">
        <v>266.09399999999999</v>
      </c>
      <c r="L290" s="216"/>
      <c r="M290" s="601"/>
    </row>
    <row r="291" spans="2:13" ht="19.149999999999999" customHeight="1">
      <c r="B291" s="934" t="s">
        <v>1076</v>
      </c>
      <c r="C291" s="935">
        <v>84</v>
      </c>
      <c r="D291" s="936">
        <v>420</v>
      </c>
      <c r="E291" s="937">
        <v>345304</v>
      </c>
      <c r="F291" s="101" t="s">
        <v>2218</v>
      </c>
      <c r="G291" s="938">
        <v>13</v>
      </c>
      <c r="H291" s="939">
        <v>8</v>
      </c>
      <c r="I291" s="938">
        <v>8</v>
      </c>
      <c r="J291" s="938">
        <v>8</v>
      </c>
      <c r="K291" s="940">
        <v>12.725</v>
      </c>
      <c r="M291" s="601"/>
    </row>
    <row r="292" spans="2:13" ht="19.149999999999999" customHeight="1">
      <c r="B292" s="934" t="s">
        <v>1076</v>
      </c>
      <c r="C292" s="935">
        <v>84</v>
      </c>
      <c r="D292" s="936">
        <v>930</v>
      </c>
      <c r="E292" s="937">
        <v>345304</v>
      </c>
      <c r="F292" s="101" t="s">
        <v>2219</v>
      </c>
      <c r="G292" s="938">
        <v>56</v>
      </c>
      <c r="H292" s="939">
        <v>48</v>
      </c>
      <c r="I292" s="938">
        <v>49</v>
      </c>
      <c r="J292" s="938">
        <v>49</v>
      </c>
      <c r="K292" s="940">
        <v>38.497999999999998</v>
      </c>
      <c r="L292" s="216"/>
      <c r="M292" s="601"/>
    </row>
    <row r="293" spans="2:13" ht="19.149999999999999" customHeight="1">
      <c r="B293" s="934" t="s">
        <v>1076</v>
      </c>
      <c r="C293" s="935">
        <v>84</v>
      </c>
      <c r="D293" s="936">
        <v>930</v>
      </c>
      <c r="E293" s="937">
        <v>345501</v>
      </c>
      <c r="F293" s="101" t="s">
        <v>1721</v>
      </c>
      <c r="G293" s="938">
        <v>0</v>
      </c>
      <c r="H293" s="939">
        <v>0</v>
      </c>
      <c r="I293" s="938">
        <v>0</v>
      </c>
      <c r="J293" s="938">
        <v>0</v>
      </c>
      <c r="K293" s="940">
        <v>164.18299999999999</v>
      </c>
      <c r="L293" s="216"/>
      <c r="M293" s="601"/>
    </row>
    <row r="294" spans="2:13" ht="19.149999999999999" customHeight="1">
      <c r="B294" s="1016"/>
      <c r="C294" s="1017"/>
      <c r="D294" s="1018"/>
      <c r="E294" s="1019" t="s">
        <v>1075</v>
      </c>
      <c r="F294" s="1020" t="s">
        <v>246</v>
      </c>
      <c r="G294" s="1021">
        <f>SUM(G271:G293)</f>
        <v>32493</v>
      </c>
      <c r="H294" s="1022">
        <f>SUM(H271:H293)</f>
        <v>31340</v>
      </c>
      <c r="I294" s="1021">
        <f>SUM(I271:I293)</f>
        <v>30857</v>
      </c>
      <c r="J294" s="1021">
        <f>SUM(J271:J293)</f>
        <v>29724</v>
      </c>
      <c r="K294" s="1023">
        <f>SUM(K271:K293)</f>
        <v>29959.592099999994</v>
      </c>
      <c r="L294" s="216"/>
      <c r="M294" s="601"/>
    </row>
    <row r="295" spans="2:13" ht="19.149999999999999" customHeight="1">
      <c r="B295" s="922"/>
      <c r="C295" s="932"/>
      <c r="D295" s="924"/>
      <c r="E295" s="925" t="s">
        <v>247</v>
      </c>
      <c r="F295" s="926" t="s">
        <v>248</v>
      </c>
      <c r="G295" s="927"/>
      <c r="H295" s="930"/>
      <c r="I295" s="927"/>
      <c r="J295" s="927"/>
      <c r="K295" s="957"/>
      <c r="L295" s="216"/>
      <c r="M295" s="601"/>
    </row>
    <row r="296" spans="2:13" ht="19.149999999999999" customHeight="1">
      <c r="B296" s="934" t="s">
        <v>248</v>
      </c>
      <c r="C296" s="935">
        <v>84</v>
      </c>
      <c r="D296" s="936">
        <v>930</v>
      </c>
      <c r="E296" s="937">
        <v>346101</v>
      </c>
      <c r="F296" s="101" t="s">
        <v>1477</v>
      </c>
      <c r="G296" s="938">
        <v>144</v>
      </c>
      <c r="H296" s="939">
        <v>144</v>
      </c>
      <c r="I296" s="938">
        <v>139</v>
      </c>
      <c r="J296" s="938">
        <v>139</v>
      </c>
      <c r="K296" s="940">
        <v>143.488</v>
      </c>
      <c r="L296" s="216"/>
      <c r="M296" s="601"/>
    </row>
    <row r="297" spans="2:13" ht="19.149999999999999" customHeight="1">
      <c r="B297" s="934" t="s">
        <v>248</v>
      </c>
      <c r="C297" s="935">
        <v>84</v>
      </c>
      <c r="D297" s="936">
        <v>930</v>
      </c>
      <c r="E297" s="937">
        <v>346302</v>
      </c>
      <c r="F297" s="101" t="s">
        <v>1478</v>
      </c>
      <c r="G297" s="938">
        <v>60</v>
      </c>
      <c r="H297" s="939">
        <v>39</v>
      </c>
      <c r="I297" s="938">
        <v>68</v>
      </c>
      <c r="J297" s="938">
        <v>68</v>
      </c>
      <c r="K297" s="940">
        <v>59.567</v>
      </c>
      <c r="L297" s="216"/>
      <c r="M297" s="601"/>
    </row>
    <row r="298" spans="2:13" ht="14">
      <c r="B298" s="934" t="s">
        <v>248</v>
      </c>
      <c r="C298" s="935">
        <v>84</v>
      </c>
      <c r="D298" s="936">
        <v>930</v>
      </c>
      <c r="E298" s="937">
        <v>346401</v>
      </c>
      <c r="F298" s="958" t="s">
        <v>2136</v>
      </c>
      <c r="G298" s="938">
        <v>0</v>
      </c>
      <c r="H298" s="939">
        <v>0</v>
      </c>
      <c r="I298" s="938">
        <v>0</v>
      </c>
      <c r="J298" s="938">
        <v>30</v>
      </c>
      <c r="K298" s="940">
        <v>35.043999999999997</v>
      </c>
      <c r="L298" s="216"/>
      <c r="M298" s="601"/>
    </row>
    <row r="299" spans="2:13" ht="31.9" customHeight="1">
      <c r="B299" s="934" t="s">
        <v>248</v>
      </c>
      <c r="C299" s="935">
        <v>84</v>
      </c>
      <c r="D299" s="936">
        <v>930</v>
      </c>
      <c r="E299" s="937">
        <v>346402</v>
      </c>
      <c r="F299" s="958" t="s">
        <v>2135</v>
      </c>
      <c r="G299" s="938">
        <v>0</v>
      </c>
      <c r="H299" s="939">
        <v>0</v>
      </c>
      <c r="I299" s="938">
        <v>0</v>
      </c>
      <c r="J299" s="938">
        <v>285</v>
      </c>
      <c r="K299" s="940">
        <v>273.39100000000002</v>
      </c>
      <c r="L299" s="216"/>
      <c r="M299" s="601"/>
    </row>
    <row r="300" spans="2:13" ht="28">
      <c r="B300" s="934" t="s">
        <v>248</v>
      </c>
      <c r="C300" s="935">
        <v>84</v>
      </c>
      <c r="D300" s="936">
        <v>930</v>
      </c>
      <c r="E300" s="937">
        <v>346501</v>
      </c>
      <c r="F300" s="958" t="s">
        <v>2125</v>
      </c>
      <c r="G300" s="938">
        <v>8033</v>
      </c>
      <c r="H300" s="939">
        <v>7875</v>
      </c>
      <c r="I300" s="938">
        <v>7696</v>
      </c>
      <c r="J300" s="938">
        <v>7275</v>
      </c>
      <c r="K300" s="940">
        <v>7519.2240000000002</v>
      </c>
      <c r="L300" s="216"/>
      <c r="M300" s="601"/>
    </row>
    <row r="301" spans="2:13" ht="19.149999999999999" customHeight="1">
      <c r="B301" s="934" t="s">
        <v>248</v>
      </c>
      <c r="C301" s="935">
        <v>84</v>
      </c>
      <c r="D301" s="936">
        <v>930</v>
      </c>
      <c r="E301" s="937">
        <v>346502</v>
      </c>
      <c r="F301" s="101" t="s">
        <v>1479</v>
      </c>
      <c r="G301" s="938">
        <v>60</v>
      </c>
      <c r="H301" s="939">
        <v>43</v>
      </c>
      <c r="I301" s="938">
        <v>45</v>
      </c>
      <c r="J301" s="938">
        <v>165</v>
      </c>
      <c r="K301" s="940">
        <v>129.97399999999999</v>
      </c>
      <c r="L301" s="216"/>
      <c r="M301" s="601"/>
    </row>
    <row r="302" spans="2:13" ht="28">
      <c r="B302" s="934" t="s">
        <v>248</v>
      </c>
      <c r="C302" s="935">
        <v>84</v>
      </c>
      <c r="D302" s="936">
        <v>930</v>
      </c>
      <c r="E302" s="937">
        <v>346601</v>
      </c>
      <c r="F302" s="958" t="s">
        <v>2129</v>
      </c>
      <c r="G302" s="938">
        <v>464</v>
      </c>
      <c r="H302" s="939">
        <v>455</v>
      </c>
      <c r="I302" s="938">
        <v>455</v>
      </c>
      <c r="J302" s="938">
        <v>281</v>
      </c>
      <c r="K302" s="940">
        <v>276.238</v>
      </c>
      <c r="L302" s="216"/>
      <c r="M302" s="601"/>
    </row>
    <row r="303" spans="2:13" ht="19.149999999999999" customHeight="1">
      <c r="B303" s="934" t="s">
        <v>248</v>
      </c>
      <c r="C303" s="935">
        <v>84</v>
      </c>
      <c r="D303" s="936">
        <v>930</v>
      </c>
      <c r="E303" s="937">
        <v>346602</v>
      </c>
      <c r="F303" s="958" t="s">
        <v>2144</v>
      </c>
      <c r="G303" s="938">
        <v>278</v>
      </c>
      <c r="H303" s="939">
        <v>228</v>
      </c>
      <c r="I303" s="938">
        <v>256</v>
      </c>
      <c r="J303" s="938">
        <v>233</v>
      </c>
      <c r="K303" s="940">
        <v>224.24299999999999</v>
      </c>
      <c r="L303" s="216"/>
      <c r="M303" s="601"/>
    </row>
    <row r="304" spans="2:13" ht="19.149999999999999" customHeight="1">
      <c r="B304" s="934" t="s">
        <v>248</v>
      </c>
      <c r="C304" s="935">
        <v>84</v>
      </c>
      <c r="D304" s="936">
        <v>930</v>
      </c>
      <c r="E304" s="937">
        <v>346603</v>
      </c>
      <c r="F304" s="958" t="s">
        <v>2137</v>
      </c>
      <c r="G304" s="938">
        <v>0</v>
      </c>
      <c r="H304" s="939">
        <v>0</v>
      </c>
      <c r="I304" s="938">
        <v>0</v>
      </c>
      <c r="J304" s="938">
        <v>23</v>
      </c>
      <c r="K304" s="940">
        <v>19.652000000000001</v>
      </c>
      <c r="L304" s="216"/>
      <c r="M304" s="601"/>
    </row>
    <row r="305" spans="2:13" ht="19.149999999999999" customHeight="1">
      <c r="B305" s="934" t="s">
        <v>248</v>
      </c>
      <c r="C305" s="935">
        <v>84</v>
      </c>
      <c r="D305" s="936">
        <v>930</v>
      </c>
      <c r="E305" s="937">
        <v>346605</v>
      </c>
      <c r="F305" s="101" t="s">
        <v>1863</v>
      </c>
      <c r="G305" s="938">
        <v>56</v>
      </c>
      <c r="H305" s="939">
        <v>28</v>
      </c>
      <c r="I305" s="938">
        <v>83</v>
      </c>
      <c r="J305" s="938">
        <v>83</v>
      </c>
      <c r="K305" s="940">
        <v>49.061999999999998</v>
      </c>
      <c r="L305" s="216"/>
      <c r="M305" s="601"/>
    </row>
    <row r="306" spans="2:13" ht="19.149999999999999" customHeight="1">
      <c r="B306" s="934" t="s">
        <v>248</v>
      </c>
      <c r="C306" s="935">
        <v>84</v>
      </c>
      <c r="D306" s="936">
        <v>930</v>
      </c>
      <c r="E306" s="937">
        <v>346606</v>
      </c>
      <c r="F306" s="101" t="s">
        <v>1519</v>
      </c>
      <c r="G306" s="938">
        <v>100</v>
      </c>
      <c r="H306" s="939">
        <v>70</v>
      </c>
      <c r="I306" s="938">
        <v>79</v>
      </c>
      <c r="J306" s="938">
        <v>79</v>
      </c>
      <c r="K306" s="940">
        <v>79.781999999999996</v>
      </c>
      <c r="L306" s="216"/>
      <c r="M306" s="601"/>
    </row>
    <row r="307" spans="2:13" ht="19.149999999999999" customHeight="1">
      <c r="B307" s="934" t="s">
        <v>248</v>
      </c>
      <c r="C307" s="935">
        <v>84</v>
      </c>
      <c r="D307" s="936">
        <v>930</v>
      </c>
      <c r="E307" s="937">
        <v>346701</v>
      </c>
      <c r="F307" s="101" t="s">
        <v>1481</v>
      </c>
      <c r="G307" s="938">
        <v>43</v>
      </c>
      <c r="H307" s="939">
        <v>40</v>
      </c>
      <c r="I307" s="938">
        <v>44</v>
      </c>
      <c r="J307" s="938">
        <v>44</v>
      </c>
      <c r="K307" s="940">
        <v>0</v>
      </c>
      <c r="L307" s="216"/>
      <c r="M307" s="601"/>
    </row>
    <row r="308" spans="2:13" ht="19.149999999999999" customHeight="1">
      <c r="B308" s="934" t="s">
        <v>248</v>
      </c>
      <c r="C308" s="935">
        <v>84</v>
      </c>
      <c r="D308" s="936">
        <v>420</v>
      </c>
      <c r="E308" s="937">
        <v>346702</v>
      </c>
      <c r="F308" s="101" t="s">
        <v>1994</v>
      </c>
      <c r="G308" s="938">
        <v>170</v>
      </c>
      <c r="H308" s="939">
        <v>108</v>
      </c>
      <c r="I308" s="938">
        <v>240</v>
      </c>
      <c r="J308" s="938">
        <v>240</v>
      </c>
      <c r="K308" s="940">
        <v>123.62350000000001</v>
      </c>
      <c r="M308" s="601"/>
    </row>
    <row r="309" spans="2:13" ht="19.149999999999999" customHeight="1">
      <c r="B309" s="934" t="s">
        <v>248</v>
      </c>
      <c r="C309" s="935">
        <v>84</v>
      </c>
      <c r="D309" s="936">
        <v>930</v>
      </c>
      <c r="E309" s="937">
        <v>346702</v>
      </c>
      <c r="F309" s="101" t="s">
        <v>2220</v>
      </c>
      <c r="G309" s="938">
        <v>1238</v>
      </c>
      <c r="H309" s="939">
        <v>1238</v>
      </c>
      <c r="I309" s="938">
        <v>1250</v>
      </c>
      <c r="J309" s="938">
        <v>1500</v>
      </c>
      <c r="K309" s="940">
        <v>1167.799</v>
      </c>
      <c r="L309" s="216"/>
      <c r="M309" s="601"/>
    </row>
    <row r="310" spans="2:13" ht="19.149999999999999" customHeight="1">
      <c r="B310" s="934" t="s">
        <v>248</v>
      </c>
      <c r="C310" s="935">
        <v>84</v>
      </c>
      <c r="D310" s="936">
        <v>930</v>
      </c>
      <c r="E310" s="937">
        <v>346703</v>
      </c>
      <c r="F310" s="958" t="s">
        <v>1866</v>
      </c>
      <c r="G310" s="938">
        <v>440</v>
      </c>
      <c r="H310" s="939">
        <v>540</v>
      </c>
      <c r="I310" s="938">
        <v>344</v>
      </c>
      <c r="J310" s="938">
        <v>434</v>
      </c>
      <c r="K310" s="940">
        <v>441.58800000000002</v>
      </c>
      <c r="L310" s="216"/>
      <c r="M310" s="601"/>
    </row>
    <row r="311" spans="2:13" ht="19.149999999999999" customHeight="1">
      <c r="B311" s="934" t="s">
        <v>248</v>
      </c>
      <c r="C311" s="935">
        <v>84</v>
      </c>
      <c r="D311" s="936">
        <v>930</v>
      </c>
      <c r="E311" s="937">
        <v>346704</v>
      </c>
      <c r="F311" s="958" t="s">
        <v>1865</v>
      </c>
      <c r="G311" s="938">
        <v>280</v>
      </c>
      <c r="H311" s="939">
        <v>250</v>
      </c>
      <c r="I311" s="938">
        <v>266</v>
      </c>
      <c r="J311" s="938">
        <v>266</v>
      </c>
      <c r="K311" s="940">
        <v>253.43799999999999</v>
      </c>
      <c r="L311" s="216"/>
      <c r="M311" s="601"/>
    </row>
    <row r="312" spans="2:13" ht="19.149999999999999" customHeight="1">
      <c r="B312" s="934" t="s">
        <v>248</v>
      </c>
      <c r="C312" s="935">
        <v>84</v>
      </c>
      <c r="D312" s="936">
        <v>930</v>
      </c>
      <c r="E312" s="937">
        <v>346706</v>
      </c>
      <c r="F312" s="101" t="s">
        <v>2221</v>
      </c>
      <c r="G312" s="938">
        <v>8</v>
      </c>
      <c r="H312" s="939">
        <v>4</v>
      </c>
      <c r="I312" s="938">
        <v>4</v>
      </c>
      <c r="J312" s="938">
        <v>4</v>
      </c>
      <c r="K312" s="940">
        <v>8.2669999999999995</v>
      </c>
      <c r="L312" s="216"/>
      <c r="M312" s="601"/>
    </row>
    <row r="313" spans="2:13" ht="28">
      <c r="B313" s="934" t="s">
        <v>248</v>
      </c>
      <c r="C313" s="935">
        <v>84</v>
      </c>
      <c r="D313" s="936">
        <v>930</v>
      </c>
      <c r="E313" s="937">
        <v>346707</v>
      </c>
      <c r="F313" s="958" t="s">
        <v>2128</v>
      </c>
      <c r="G313" s="938">
        <v>435</v>
      </c>
      <c r="H313" s="939">
        <v>300</v>
      </c>
      <c r="I313" s="938">
        <v>436</v>
      </c>
      <c r="J313" s="938">
        <v>375</v>
      </c>
      <c r="K313" s="940">
        <v>209.40899999999999</v>
      </c>
      <c r="L313" s="216"/>
      <c r="M313" s="601"/>
    </row>
    <row r="314" spans="2:13" ht="19.149999999999999" customHeight="1">
      <c r="B314" s="934" t="s">
        <v>248</v>
      </c>
      <c r="C314" s="935">
        <v>84</v>
      </c>
      <c r="D314" s="936">
        <v>930</v>
      </c>
      <c r="E314" s="937">
        <v>346801</v>
      </c>
      <c r="F314" s="101" t="s">
        <v>1482</v>
      </c>
      <c r="G314" s="938">
        <v>37</v>
      </c>
      <c r="H314" s="939">
        <v>34</v>
      </c>
      <c r="I314" s="938">
        <v>33</v>
      </c>
      <c r="J314" s="938">
        <v>68</v>
      </c>
      <c r="K314" s="940">
        <v>59.497999999999998</v>
      </c>
      <c r="L314" s="216"/>
      <c r="M314" s="601"/>
    </row>
    <row r="315" spans="2:13" ht="19.149999999999999" customHeight="1">
      <c r="B315" s="934" t="s">
        <v>248</v>
      </c>
      <c r="C315" s="935">
        <v>84</v>
      </c>
      <c r="D315" s="936">
        <v>930</v>
      </c>
      <c r="E315" s="937">
        <v>346802</v>
      </c>
      <c r="F315" s="101" t="s">
        <v>1483</v>
      </c>
      <c r="G315" s="938">
        <v>60</v>
      </c>
      <c r="H315" s="939">
        <v>42</v>
      </c>
      <c r="I315" s="938">
        <v>60</v>
      </c>
      <c r="J315" s="938">
        <v>60</v>
      </c>
      <c r="K315" s="940">
        <v>33</v>
      </c>
      <c r="L315" s="216"/>
      <c r="M315" s="601"/>
    </row>
    <row r="316" spans="2:13" ht="31.5" customHeight="1">
      <c r="B316" s="934" t="s">
        <v>248</v>
      </c>
      <c r="C316" s="935">
        <v>84</v>
      </c>
      <c r="D316" s="936">
        <v>930</v>
      </c>
      <c r="E316" s="937">
        <v>346803</v>
      </c>
      <c r="F316" s="958" t="s">
        <v>2145</v>
      </c>
      <c r="G316" s="938">
        <v>90</v>
      </c>
      <c r="H316" s="939">
        <v>89</v>
      </c>
      <c r="I316" s="938">
        <v>108</v>
      </c>
      <c r="J316" s="938">
        <v>30</v>
      </c>
      <c r="K316" s="940">
        <v>16.481999999999999</v>
      </c>
      <c r="L316" s="216"/>
      <c r="M316" s="601"/>
    </row>
    <row r="317" spans="2:13" ht="19.149999999999999" customHeight="1">
      <c r="B317" s="934" t="s">
        <v>248</v>
      </c>
      <c r="C317" s="935">
        <v>84</v>
      </c>
      <c r="D317" s="936">
        <v>930</v>
      </c>
      <c r="E317" s="937">
        <v>346804</v>
      </c>
      <c r="F317" s="101" t="s">
        <v>2222</v>
      </c>
      <c r="G317" s="938">
        <v>210</v>
      </c>
      <c r="H317" s="939">
        <v>193</v>
      </c>
      <c r="I317" s="938">
        <v>190</v>
      </c>
      <c r="J317" s="938">
        <v>206</v>
      </c>
      <c r="K317" s="940">
        <v>205.666</v>
      </c>
      <c r="L317" s="216"/>
      <c r="M317" s="601"/>
    </row>
    <row r="318" spans="2:13" ht="28">
      <c r="B318" s="934" t="s">
        <v>248</v>
      </c>
      <c r="C318" s="935">
        <v>84</v>
      </c>
      <c r="D318" s="936">
        <v>930</v>
      </c>
      <c r="E318" s="937">
        <v>346805</v>
      </c>
      <c r="F318" s="958" t="s">
        <v>2134</v>
      </c>
      <c r="G318" s="938">
        <v>0</v>
      </c>
      <c r="H318" s="939">
        <v>0</v>
      </c>
      <c r="I318" s="938">
        <v>0</v>
      </c>
      <c r="J318" s="938">
        <v>70</v>
      </c>
      <c r="K318" s="940">
        <v>68.08</v>
      </c>
      <c r="L318" s="216"/>
      <c r="M318" s="601"/>
    </row>
    <row r="319" spans="2:13" ht="19.149999999999999" customHeight="1">
      <c r="B319" s="934" t="s">
        <v>248</v>
      </c>
      <c r="C319" s="935">
        <v>84</v>
      </c>
      <c r="D319" s="936">
        <v>930</v>
      </c>
      <c r="E319" s="937">
        <v>346806</v>
      </c>
      <c r="F319" s="101" t="s">
        <v>1537</v>
      </c>
      <c r="G319" s="938">
        <v>9</v>
      </c>
      <c r="H319" s="939">
        <v>4</v>
      </c>
      <c r="I319" s="938">
        <v>8</v>
      </c>
      <c r="J319" s="938">
        <v>8</v>
      </c>
      <c r="K319" s="940">
        <v>4.4379999999999997</v>
      </c>
      <c r="L319" s="216"/>
      <c r="M319" s="601"/>
    </row>
    <row r="320" spans="2:13" ht="19.149999999999999" customHeight="1">
      <c r="B320" s="934" t="s">
        <v>248</v>
      </c>
      <c r="C320" s="935">
        <v>84</v>
      </c>
      <c r="D320" s="936">
        <v>930</v>
      </c>
      <c r="E320" s="937">
        <v>346807</v>
      </c>
      <c r="F320" s="101" t="s">
        <v>1571</v>
      </c>
      <c r="G320" s="938">
        <v>150</v>
      </c>
      <c r="H320" s="939">
        <v>150</v>
      </c>
      <c r="I320" s="938">
        <v>165</v>
      </c>
      <c r="J320" s="938">
        <v>90</v>
      </c>
      <c r="K320" s="940">
        <v>37.651000000000003</v>
      </c>
      <c r="L320" s="216"/>
      <c r="M320" s="601"/>
    </row>
    <row r="321" spans="2:13" ht="19.149999999999999" customHeight="1">
      <c r="B321" s="934" t="s">
        <v>248</v>
      </c>
      <c r="C321" s="935">
        <v>84</v>
      </c>
      <c r="D321" s="936">
        <v>930</v>
      </c>
      <c r="E321" s="937">
        <v>346808</v>
      </c>
      <c r="F321" s="101" t="s">
        <v>2000</v>
      </c>
      <c r="G321" s="938">
        <v>0</v>
      </c>
      <c r="H321" s="939">
        <v>0</v>
      </c>
      <c r="I321" s="938">
        <v>0</v>
      </c>
      <c r="J321" s="938">
        <v>195</v>
      </c>
      <c r="K321" s="940">
        <v>0</v>
      </c>
      <c r="L321" s="216"/>
      <c r="M321" s="601"/>
    </row>
    <row r="322" spans="2:13" ht="19.149999999999999" customHeight="1">
      <c r="B322" s="982"/>
      <c r="C322" s="983"/>
      <c r="D322" s="984"/>
      <c r="E322" s="985" t="s">
        <v>247</v>
      </c>
      <c r="F322" s="986" t="s">
        <v>1065</v>
      </c>
      <c r="G322" s="987">
        <f>SUM(G296:G321)</f>
        <v>12365</v>
      </c>
      <c r="H322" s="988">
        <f>SUM(H296:H321)</f>
        <v>11874</v>
      </c>
      <c r="I322" s="987">
        <f>SUM(I296:I321)</f>
        <v>11969</v>
      </c>
      <c r="J322" s="987">
        <f>SUM(J296:J321)</f>
        <v>12251</v>
      </c>
      <c r="K322" s="989">
        <f>SUM(K296:K321)</f>
        <v>11438.604499999996</v>
      </c>
      <c r="L322" s="216"/>
      <c r="M322" s="601"/>
    </row>
    <row r="323" spans="2:13" ht="19.149999999999999" customHeight="1">
      <c r="B323" s="922"/>
      <c r="C323" s="932"/>
      <c r="D323" s="924"/>
      <c r="E323" s="925" t="s">
        <v>1066</v>
      </c>
      <c r="F323" s="926" t="s">
        <v>1526</v>
      </c>
      <c r="G323" s="927"/>
      <c r="H323" s="930"/>
      <c r="I323" s="927"/>
      <c r="J323" s="927"/>
      <c r="K323" s="957"/>
      <c r="L323" s="216"/>
      <c r="M323" s="601"/>
    </row>
    <row r="324" spans="2:13" ht="19.149999999999999" customHeight="1">
      <c r="B324" s="934" t="s">
        <v>1526</v>
      </c>
      <c r="C324" s="935">
        <v>84</v>
      </c>
      <c r="D324" s="936">
        <v>930</v>
      </c>
      <c r="E324" s="937">
        <v>347101</v>
      </c>
      <c r="F324" s="101" t="s">
        <v>2172</v>
      </c>
      <c r="G324" s="938">
        <v>252</v>
      </c>
      <c r="H324" s="939">
        <v>0</v>
      </c>
      <c r="I324" s="938">
        <v>0</v>
      </c>
      <c r="J324" s="938">
        <v>0</v>
      </c>
      <c r="K324" s="940">
        <v>0</v>
      </c>
      <c r="M324" s="601"/>
    </row>
    <row r="325" spans="2:13" ht="19.149999999999999" customHeight="1">
      <c r="B325" s="934" t="s">
        <v>1526</v>
      </c>
      <c r="C325" s="935">
        <v>84</v>
      </c>
      <c r="D325" s="936">
        <v>420</v>
      </c>
      <c r="E325" s="937">
        <v>347102</v>
      </c>
      <c r="F325" s="101" t="s">
        <v>1995</v>
      </c>
      <c r="G325" s="938">
        <v>25</v>
      </c>
      <c r="H325" s="939">
        <v>1</v>
      </c>
      <c r="I325" s="938">
        <v>25</v>
      </c>
      <c r="J325" s="938">
        <v>25</v>
      </c>
      <c r="K325" s="940">
        <v>17.204999999999998</v>
      </c>
      <c r="M325" s="601"/>
    </row>
    <row r="326" spans="2:13" ht="19.149999999999999" customHeight="1">
      <c r="B326" s="934" t="s">
        <v>1526</v>
      </c>
      <c r="C326" s="935">
        <v>84</v>
      </c>
      <c r="D326" s="936">
        <v>740</v>
      </c>
      <c r="E326" s="937">
        <v>347102</v>
      </c>
      <c r="F326" s="101" t="s">
        <v>2152</v>
      </c>
      <c r="G326" s="938">
        <v>540</v>
      </c>
      <c r="H326" s="939">
        <v>540</v>
      </c>
      <c r="I326" s="938">
        <v>540</v>
      </c>
      <c r="J326" s="938">
        <v>0</v>
      </c>
      <c r="K326" s="940">
        <v>0</v>
      </c>
      <c r="M326" s="601"/>
    </row>
    <row r="327" spans="2:13" ht="19.149999999999999" customHeight="1">
      <c r="B327" s="934" t="s">
        <v>1526</v>
      </c>
      <c r="C327" s="935">
        <v>84</v>
      </c>
      <c r="D327" s="936">
        <v>930</v>
      </c>
      <c r="E327" s="937">
        <v>347102</v>
      </c>
      <c r="F327" s="1000" t="s">
        <v>1484</v>
      </c>
      <c r="G327" s="938">
        <v>338</v>
      </c>
      <c r="H327" s="939">
        <v>398</v>
      </c>
      <c r="I327" s="938">
        <v>310</v>
      </c>
      <c r="J327" s="938">
        <v>210</v>
      </c>
      <c r="K327" s="940">
        <v>286.41699999999997</v>
      </c>
      <c r="L327" s="216"/>
      <c r="M327" s="601"/>
    </row>
    <row r="328" spans="2:13" ht="19.149999999999999" customHeight="1">
      <c r="B328" s="934" t="s">
        <v>1526</v>
      </c>
      <c r="C328" s="935">
        <v>84</v>
      </c>
      <c r="D328" s="936">
        <v>930</v>
      </c>
      <c r="E328" s="937">
        <v>347103</v>
      </c>
      <c r="F328" s="1000" t="s">
        <v>1485</v>
      </c>
      <c r="G328" s="938">
        <v>11</v>
      </c>
      <c r="H328" s="939">
        <v>8</v>
      </c>
      <c r="I328" s="938">
        <v>8</v>
      </c>
      <c r="J328" s="938">
        <v>8</v>
      </c>
      <c r="K328" s="940">
        <v>28.584</v>
      </c>
      <c r="L328" s="216"/>
      <c r="M328" s="601"/>
    </row>
    <row r="329" spans="2:13" ht="19.149999999999999" customHeight="1">
      <c r="B329" s="934" t="s">
        <v>1526</v>
      </c>
      <c r="C329" s="935">
        <v>84</v>
      </c>
      <c r="D329" s="936">
        <v>930</v>
      </c>
      <c r="E329" s="937">
        <v>347104</v>
      </c>
      <c r="F329" s="1000" t="s">
        <v>1486</v>
      </c>
      <c r="G329" s="938">
        <v>95</v>
      </c>
      <c r="H329" s="939">
        <v>90</v>
      </c>
      <c r="I329" s="938">
        <v>90</v>
      </c>
      <c r="J329" s="938">
        <v>90</v>
      </c>
      <c r="K329" s="940">
        <v>97.697000000000003</v>
      </c>
      <c r="L329" s="216"/>
      <c r="M329" s="601"/>
    </row>
    <row r="330" spans="2:13" ht="19.149999999999999" customHeight="1">
      <c r="B330" s="934" t="s">
        <v>1526</v>
      </c>
      <c r="C330" s="935">
        <v>84</v>
      </c>
      <c r="D330" s="936">
        <v>930</v>
      </c>
      <c r="E330" s="937">
        <v>347105</v>
      </c>
      <c r="F330" s="1000" t="s">
        <v>1572</v>
      </c>
      <c r="G330" s="938">
        <v>0</v>
      </c>
      <c r="H330" s="939">
        <v>0</v>
      </c>
      <c r="I330" s="938">
        <v>45</v>
      </c>
      <c r="J330" s="938">
        <v>45</v>
      </c>
      <c r="K330" s="940">
        <v>44.533999999999999</v>
      </c>
      <c r="L330" s="216"/>
      <c r="M330" s="601"/>
    </row>
    <row r="331" spans="2:13" ht="19.149999999999999" customHeight="1">
      <c r="B331" s="934" t="s">
        <v>1526</v>
      </c>
      <c r="C331" s="935">
        <v>84</v>
      </c>
      <c r="D331" s="936">
        <v>931</v>
      </c>
      <c r="E331" s="937">
        <v>347106</v>
      </c>
      <c r="F331" s="958" t="s">
        <v>2223</v>
      </c>
      <c r="G331" s="938">
        <v>72</v>
      </c>
      <c r="H331" s="939">
        <v>72</v>
      </c>
      <c r="I331" s="938">
        <v>91</v>
      </c>
      <c r="J331" s="938">
        <v>86</v>
      </c>
      <c r="K331" s="940">
        <v>101.611</v>
      </c>
      <c r="M331" s="601"/>
    </row>
    <row r="332" spans="2:13" ht="19.149999999999999" customHeight="1">
      <c r="B332" s="934" t="s">
        <v>1526</v>
      </c>
      <c r="C332" s="935">
        <v>84</v>
      </c>
      <c r="D332" s="936">
        <v>932</v>
      </c>
      <c r="E332" s="937">
        <v>347106</v>
      </c>
      <c r="F332" s="958" t="s">
        <v>1829</v>
      </c>
      <c r="G332" s="938">
        <v>135</v>
      </c>
      <c r="H332" s="939">
        <v>90</v>
      </c>
      <c r="I332" s="938">
        <v>128</v>
      </c>
      <c r="J332" s="938">
        <v>261</v>
      </c>
      <c r="K332" s="940">
        <v>190.77799999999999</v>
      </c>
      <c r="M332" s="601"/>
    </row>
    <row r="333" spans="2:13" ht="19.149999999999999" customHeight="1">
      <c r="B333" s="934" t="s">
        <v>1526</v>
      </c>
      <c r="C333" s="935">
        <v>84</v>
      </c>
      <c r="D333" s="936">
        <v>420</v>
      </c>
      <c r="E333" s="937">
        <v>347301</v>
      </c>
      <c r="F333" s="958" t="s">
        <v>2396</v>
      </c>
      <c r="G333" s="938">
        <v>0</v>
      </c>
      <c r="H333" s="939">
        <v>0</v>
      </c>
      <c r="I333" s="938">
        <v>0</v>
      </c>
      <c r="J333" s="938">
        <v>0</v>
      </c>
      <c r="K333" s="940">
        <v>6.56</v>
      </c>
      <c r="M333" s="601"/>
    </row>
    <row r="334" spans="2:13" ht="30.65" customHeight="1">
      <c r="B334" s="934" t="s">
        <v>1526</v>
      </c>
      <c r="C334" s="935">
        <v>84</v>
      </c>
      <c r="D334" s="936">
        <v>930</v>
      </c>
      <c r="E334" s="937">
        <v>347301</v>
      </c>
      <c r="F334" s="958" t="s">
        <v>2146</v>
      </c>
      <c r="G334" s="938">
        <v>40</v>
      </c>
      <c r="H334" s="939">
        <v>30</v>
      </c>
      <c r="I334" s="938">
        <v>74</v>
      </c>
      <c r="J334" s="938">
        <v>41</v>
      </c>
      <c r="K334" s="940">
        <v>83.796999999999997</v>
      </c>
      <c r="L334" s="216"/>
      <c r="M334" s="601"/>
    </row>
    <row r="335" spans="2:13" ht="19.149999999999999" customHeight="1">
      <c r="B335" s="934" t="s">
        <v>1526</v>
      </c>
      <c r="C335" s="935">
        <v>84</v>
      </c>
      <c r="D335" s="936">
        <v>931</v>
      </c>
      <c r="E335" s="937">
        <v>347301</v>
      </c>
      <c r="F335" s="958" t="s">
        <v>2224</v>
      </c>
      <c r="G335" s="938">
        <v>360</v>
      </c>
      <c r="H335" s="939">
        <v>355</v>
      </c>
      <c r="I335" s="938">
        <v>365</v>
      </c>
      <c r="J335" s="938">
        <v>90</v>
      </c>
      <c r="K335" s="940">
        <v>107.629</v>
      </c>
      <c r="M335" s="601"/>
    </row>
    <row r="336" spans="2:13" ht="19.149999999999999" customHeight="1">
      <c r="B336" s="934" t="s">
        <v>1526</v>
      </c>
      <c r="C336" s="935">
        <v>84</v>
      </c>
      <c r="D336" s="936">
        <v>930</v>
      </c>
      <c r="E336" s="937">
        <v>347302</v>
      </c>
      <c r="F336" s="1000" t="s">
        <v>2225</v>
      </c>
      <c r="G336" s="938">
        <v>11</v>
      </c>
      <c r="H336" s="939">
        <v>6</v>
      </c>
      <c r="I336" s="938">
        <v>15</v>
      </c>
      <c r="J336" s="938">
        <v>15</v>
      </c>
      <c r="K336" s="940">
        <v>7.5289999999999999</v>
      </c>
      <c r="L336" s="216"/>
      <c r="M336" s="601"/>
    </row>
    <row r="337" spans="2:13" ht="19.149999999999999" customHeight="1">
      <c r="B337" s="934" t="s">
        <v>1526</v>
      </c>
      <c r="C337" s="935">
        <v>84</v>
      </c>
      <c r="D337" s="936">
        <v>930</v>
      </c>
      <c r="E337" s="937">
        <v>347303</v>
      </c>
      <c r="F337" s="958" t="s">
        <v>2139</v>
      </c>
      <c r="G337" s="938">
        <v>0</v>
      </c>
      <c r="H337" s="939">
        <v>0</v>
      </c>
      <c r="I337" s="938">
        <v>0</v>
      </c>
      <c r="J337" s="938">
        <v>33</v>
      </c>
      <c r="K337" s="940">
        <v>5.48</v>
      </c>
      <c r="L337" s="216"/>
      <c r="M337" s="601"/>
    </row>
    <row r="338" spans="2:13" ht="19.149999999999999" customHeight="1">
      <c r="B338" s="982"/>
      <c r="C338" s="983"/>
      <c r="D338" s="984"/>
      <c r="E338" s="985" t="s">
        <v>1066</v>
      </c>
      <c r="F338" s="986" t="s">
        <v>1527</v>
      </c>
      <c r="G338" s="987">
        <f>SUM(G324:G337)</f>
        <v>1879</v>
      </c>
      <c r="H338" s="988">
        <f>SUM(H324:H337)</f>
        <v>1590</v>
      </c>
      <c r="I338" s="987">
        <f>SUM(I324:I337)</f>
        <v>1691</v>
      </c>
      <c r="J338" s="987">
        <f>SUM(J324:J337)</f>
        <v>904</v>
      </c>
      <c r="K338" s="989">
        <f>SUM(K324:K337)</f>
        <v>977.82100000000003</v>
      </c>
      <c r="L338" s="216"/>
      <c r="M338" s="601"/>
    </row>
    <row r="339" spans="2:13" ht="19.149999999999999" customHeight="1">
      <c r="B339" s="922"/>
      <c r="C339" s="932"/>
      <c r="D339" s="924"/>
      <c r="E339" s="925" t="s">
        <v>1530</v>
      </c>
      <c r="F339" s="926" t="s">
        <v>1487</v>
      </c>
      <c r="G339" s="927"/>
      <c r="H339" s="930"/>
      <c r="I339" s="927"/>
      <c r="J339" s="927"/>
      <c r="K339" s="957"/>
      <c r="L339" s="216"/>
      <c r="M339" s="601"/>
    </row>
    <row r="340" spans="2:13" ht="19.149999999999999" customHeight="1">
      <c r="B340" s="934" t="s">
        <v>1487</v>
      </c>
      <c r="C340" s="935">
        <v>84</v>
      </c>
      <c r="D340" s="936">
        <v>930</v>
      </c>
      <c r="E340" s="937">
        <v>347401</v>
      </c>
      <c r="F340" s="1000" t="s">
        <v>1761</v>
      </c>
      <c r="G340" s="938">
        <v>1412</v>
      </c>
      <c r="H340" s="939">
        <v>1255</v>
      </c>
      <c r="I340" s="938">
        <v>1292</v>
      </c>
      <c r="J340" s="938">
        <v>1292</v>
      </c>
      <c r="K340" s="940">
        <v>1209.3510000000001</v>
      </c>
      <c r="L340" s="216"/>
      <c r="M340" s="601"/>
    </row>
    <row r="341" spans="2:13" ht="19.149999999999999" customHeight="1">
      <c r="B341" s="934" t="s">
        <v>1487</v>
      </c>
      <c r="C341" s="935">
        <v>84</v>
      </c>
      <c r="D341" s="936">
        <v>931</v>
      </c>
      <c r="E341" s="937">
        <v>347401</v>
      </c>
      <c r="F341" s="1000" t="s">
        <v>1521</v>
      </c>
      <c r="G341" s="938">
        <v>455</v>
      </c>
      <c r="H341" s="939">
        <v>455</v>
      </c>
      <c r="I341" s="938">
        <v>475</v>
      </c>
      <c r="J341" s="938">
        <v>475</v>
      </c>
      <c r="K341" s="940">
        <v>450.87299999999999</v>
      </c>
      <c r="L341" s="216"/>
      <c r="M341" s="601"/>
    </row>
    <row r="342" spans="2:13" ht="19.149999999999999" customHeight="1">
      <c r="B342" s="934" t="s">
        <v>1487</v>
      </c>
      <c r="C342" s="935">
        <v>84</v>
      </c>
      <c r="D342" s="936">
        <v>930</v>
      </c>
      <c r="E342" s="937">
        <v>347404</v>
      </c>
      <c r="F342" s="1000" t="s">
        <v>632</v>
      </c>
      <c r="G342" s="938">
        <v>150</v>
      </c>
      <c r="H342" s="939">
        <v>150</v>
      </c>
      <c r="I342" s="938">
        <v>205</v>
      </c>
      <c r="J342" s="938">
        <v>280</v>
      </c>
      <c r="K342" s="940">
        <v>274.29500000000002</v>
      </c>
      <c r="L342" s="216"/>
      <c r="M342" s="601"/>
    </row>
    <row r="343" spans="2:13" ht="19.149999999999999" customHeight="1">
      <c r="B343" s="934" t="s">
        <v>1487</v>
      </c>
      <c r="C343" s="935">
        <v>84</v>
      </c>
      <c r="D343" s="936">
        <v>931</v>
      </c>
      <c r="E343" s="937">
        <v>347404</v>
      </c>
      <c r="F343" s="1000" t="s">
        <v>1753</v>
      </c>
      <c r="G343" s="938">
        <v>15</v>
      </c>
      <c r="H343" s="939">
        <v>15</v>
      </c>
      <c r="I343" s="938">
        <v>5</v>
      </c>
      <c r="J343" s="938">
        <v>5</v>
      </c>
      <c r="K343" s="940">
        <v>16.114000000000001</v>
      </c>
      <c r="L343" s="216"/>
      <c r="M343" s="601"/>
    </row>
    <row r="344" spans="2:13" ht="19.149999999999999" customHeight="1">
      <c r="B344" s="982"/>
      <c r="C344" s="983"/>
      <c r="D344" s="984"/>
      <c r="E344" s="1013" t="s">
        <v>1530</v>
      </c>
      <c r="F344" s="986" t="s">
        <v>1520</v>
      </c>
      <c r="G344" s="987">
        <f>SUM(G340:G343)</f>
        <v>2032</v>
      </c>
      <c r="H344" s="988">
        <f>SUM(H340:H343)</f>
        <v>1875</v>
      </c>
      <c r="I344" s="987">
        <f>SUM(I340:I343)</f>
        <v>1977</v>
      </c>
      <c r="J344" s="987">
        <f>SUM(J340:J343)</f>
        <v>2052</v>
      </c>
      <c r="K344" s="989">
        <f>SUM(K340:K343)</f>
        <v>1950.6330000000003</v>
      </c>
      <c r="L344" s="216"/>
      <c r="M344" s="601"/>
    </row>
    <row r="345" spans="2:13" ht="19.149999999999999" customHeight="1">
      <c r="B345" s="922"/>
      <c r="C345" s="932"/>
      <c r="D345" s="924"/>
      <c r="E345" s="925" t="s">
        <v>1116</v>
      </c>
      <c r="F345" s="926" t="s">
        <v>823</v>
      </c>
      <c r="G345" s="927"/>
      <c r="H345" s="930"/>
      <c r="I345" s="927"/>
      <c r="J345" s="927"/>
      <c r="K345" s="1024"/>
      <c r="L345" s="216"/>
      <c r="M345" s="601"/>
    </row>
    <row r="346" spans="2:13" ht="19.149999999999999" customHeight="1">
      <c r="B346" s="934" t="s">
        <v>823</v>
      </c>
      <c r="C346" s="935">
        <v>84</v>
      </c>
      <c r="D346" s="936">
        <v>420</v>
      </c>
      <c r="E346" s="937">
        <v>348201</v>
      </c>
      <c r="F346" s="101" t="s">
        <v>1860</v>
      </c>
      <c r="G346" s="938">
        <v>0</v>
      </c>
      <c r="H346" s="939">
        <v>0</v>
      </c>
      <c r="I346" s="938">
        <v>3</v>
      </c>
      <c r="J346" s="938">
        <v>3</v>
      </c>
      <c r="K346" s="940">
        <v>0.56999999999999995</v>
      </c>
      <c r="M346" s="601"/>
    </row>
    <row r="347" spans="2:13" ht="19.149999999999999" customHeight="1">
      <c r="B347" s="934" t="s">
        <v>823</v>
      </c>
      <c r="C347" s="935">
        <v>84</v>
      </c>
      <c r="D347" s="936">
        <v>930</v>
      </c>
      <c r="E347" s="937">
        <v>348201</v>
      </c>
      <c r="F347" s="101" t="s">
        <v>764</v>
      </c>
      <c r="G347" s="938">
        <v>68</v>
      </c>
      <c r="H347" s="939">
        <v>100</v>
      </c>
      <c r="I347" s="938">
        <v>100</v>
      </c>
      <c r="J347" s="938">
        <v>100</v>
      </c>
      <c r="K347" s="940">
        <v>22.114999999999998</v>
      </c>
      <c r="L347" s="216"/>
      <c r="M347" s="601"/>
    </row>
    <row r="348" spans="2:13" ht="19.149999999999999" customHeight="1">
      <c r="B348" s="934" t="s">
        <v>823</v>
      </c>
      <c r="C348" s="935">
        <v>84</v>
      </c>
      <c r="D348" s="936">
        <v>930</v>
      </c>
      <c r="E348" s="937">
        <v>348202</v>
      </c>
      <c r="F348" s="101" t="s">
        <v>1496</v>
      </c>
      <c r="G348" s="938">
        <v>22</v>
      </c>
      <c r="H348" s="939">
        <v>11</v>
      </c>
      <c r="I348" s="938">
        <v>11</v>
      </c>
      <c r="J348" s="938">
        <v>11</v>
      </c>
      <c r="K348" s="940">
        <v>32.543999999999997</v>
      </c>
      <c r="L348" s="216"/>
      <c r="M348" s="601"/>
    </row>
    <row r="349" spans="2:13" ht="19.149999999999999" customHeight="1">
      <c r="B349" s="934" t="s">
        <v>823</v>
      </c>
      <c r="C349" s="935">
        <v>84</v>
      </c>
      <c r="D349" s="936">
        <v>930</v>
      </c>
      <c r="E349" s="937">
        <v>348301</v>
      </c>
      <c r="F349" s="101" t="s">
        <v>1522</v>
      </c>
      <c r="G349" s="938">
        <v>53</v>
      </c>
      <c r="H349" s="939">
        <v>45</v>
      </c>
      <c r="I349" s="938">
        <v>59</v>
      </c>
      <c r="J349" s="938">
        <v>59</v>
      </c>
      <c r="K349" s="940">
        <v>77.784999999999997</v>
      </c>
      <c r="L349" s="216"/>
      <c r="M349" s="601"/>
    </row>
    <row r="350" spans="2:13" ht="19.149999999999999" customHeight="1">
      <c r="B350" s="934" t="s">
        <v>823</v>
      </c>
      <c r="C350" s="935">
        <v>84</v>
      </c>
      <c r="D350" s="936">
        <v>930</v>
      </c>
      <c r="E350" s="937">
        <v>348302</v>
      </c>
      <c r="F350" s="101" t="s">
        <v>1501</v>
      </c>
      <c r="G350" s="938">
        <v>8</v>
      </c>
      <c r="H350" s="939">
        <v>8</v>
      </c>
      <c r="I350" s="938">
        <v>8</v>
      </c>
      <c r="J350" s="938">
        <v>8</v>
      </c>
      <c r="K350" s="940">
        <v>7.4260000000000002</v>
      </c>
      <c r="L350" s="216"/>
      <c r="M350" s="601"/>
    </row>
    <row r="351" spans="2:13" ht="19.149999999999999" customHeight="1">
      <c r="B351" s="982"/>
      <c r="C351" s="983"/>
      <c r="D351" s="984"/>
      <c r="E351" s="985" t="s">
        <v>1116</v>
      </c>
      <c r="F351" s="986" t="s">
        <v>832</v>
      </c>
      <c r="G351" s="987">
        <f>SUM(G346:G350)</f>
        <v>151</v>
      </c>
      <c r="H351" s="988">
        <f>SUM(H346:H350)</f>
        <v>164</v>
      </c>
      <c r="I351" s="987">
        <f>SUM(I346:I350)</f>
        <v>181</v>
      </c>
      <c r="J351" s="987">
        <f>SUM(J346:J350)</f>
        <v>181</v>
      </c>
      <c r="K351" s="989">
        <f>SUM(K346:K350)</f>
        <v>140.44</v>
      </c>
      <c r="L351" s="216"/>
      <c r="M351" s="601"/>
    </row>
    <row r="352" spans="2:13" ht="19.149999999999999" customHeight="1">
      <c r="B352" s="922"/>
      <c r="C352" s="932"/>
      <c r="D352" s="924"/>
      <c r="E352" s="925" t="s">
        <v>765</v>
      </c>
      <c r="F352" s="926" t="s">
        <v>1155</v>
      </c>
      <c r="G352" s="927"/>
      <c r="H352" s="930"/>
      <c r="I352" s="927"/>
      <c r="J352" s="927"/>
      <c r="K352" s="957"/>
      <c r="L352" s="216"/>
      <c r="M352" s="601"/>
    </row>
    <row r="353" spans="2:13" ht="28">
      <c r="B353" s="934" t="s">
        <v>1155</v>
      </c>
      <c r="C353" s="935">
        <v>84</v>
      </c>
      <c r="D353" s="936">
        <v>930</v>
      </c>
      <c r="E353" s="937">
        <v>349001</v>
      </c>
      <c r="F353" s="980" t="s">
        <v>2245</v>
      </c>
      <c r="G353" s="938">
        <v>0</v>
      </c>
      <c r="H353" s="939">
        <v>0</v>
      </c>
      <c r="I353" s="938">
        <v>0</v>
      </c>
      <c r="J353" s="938">
        <v>105</v>
      </c>
      <c r="K353" s="940">
        <v>104.304</v>
      </c>
      <c r="L353" s="216"/>
      <c r="M353" s="601"/>
    </row>
    <row r="354" spans="2:13" ht="19.149999999999999" customHeight="1">
      <c r="B354" s="934" t="s">
        <v>1155</v>
      </c>
      <c r="C354" s="935">
        <v>84</v>
      </c>
      <c r="D354" s="936">
        <v>930</v>
      </c>
      <c r="E354" s="937">
        <v>349002</v>
      </c>
      <c r="F354" s="980" t="s">
        <v>2132</v>
      </c>
      <c r="G354" s="938">
        <v>0</v>
      </c>
      <c r="H354" s="939">
        <v>0</v>
      </c>
      <c r="I354" s="938">
        <v>0</v>
      </c>
      <c r="J354" s="938">
        <v>43</v>
      </c>
      <c r="K354" s="940">
        <v>33.323</v>
      </c>
      <c r="L354" s="216"/>
      <c r="M354" s="601"/>
    </row>
    <row r="355" spans="2:13" ht="33" customHeight="1">
      <c r="B355" s="934" t="s">
        <v>1155</v>
      </c>
      <c r="C355" s="935">
        <v>84</v>
      </c>
      <c r="D355" s="936">
        <v>930</v>
      </c>
      <c r="E355" s="937">
        <v>349003</v>
      </c>
      <c r="F355" s="980" t="s">
        <v>2131</v>
      </c>
      <c r="G355" s="938">
        <v>0</v>
      </c>
      <c r="H355" s="939">
        <v>0</v>
      </c>
      <c r="I355" s="938">
        <v>0</v>
      </c>
      <c r="J355" s="938">
        <v>109</v>
      </c>
      <c r="K355" s="940">
        <v>152.654</v>
      </c>
      <c r="L355" s="216"/>
      <c r="M355" s="601"/>
    </row>
    <row r="356" spans="2:13" ht="19.149999999999999" customHeight="1">
      <c r="B356" s="934" t="s">
        <v>1155</v>
      </c>
      <c r="C356" s="935">
        <v>84</v>
      </c>
      <c r="D356" s="936">
        <v>930</v>
      </c>
      <c r="E356" s="937">
        <v>349004</v>
      </c>
      <c r="F356" s="981" t="s">
        <v>1502</v>
      </c>
      <c r="G356" s="938">
        <v>11</v>
      </c>
      <c r="H356" s="939">
        <v>5</v>
      </c>
      <c r="I356" s="938">
        <v>4</v>
      </c>
      <c r="J356" s="938">
        <v>4</v>
      </c>
      <c r="K356" s="940">
        <v>5.4119999999999999</v>
      </c>
      <c r="L356" s="216"/>
      <c r="M356" s="601"/>
    </row>
    <row r="357" spans="2:13" ht="19.149999999999999" customHeight="1">
      <c r="B357" s="934" t="s">
        <v>1155</v>
      </c>
      <c r="C357" s="935">
        <v>84</v>
      </c>
      <c r="D357" s="936">
        <v>930</v>
      </c>
      <c r="E357" s="937">
        <v>349006</v>
      </c>
      <c r="F357" s="981" t="s">
        <v>1503</v>
      </c>
      <c r="G357" s="938">
        <v>225</v>
      </c>
      <c r="H357" s="939">
        <v>205</v>
      </c>
      <c r="I357" s="938">
        <v>213</v>
      </c>
      <c r="J357" s="938">
        <v>308</v>
      </c>
      <c r="K357" s="940">
        <v>272.34899999999999</v>
      </c>
      <c r="L357" s="216"/>
      <c r="M357" s="601"/>
    </row>
    <row r="358" spans="2:13" ht="19.149999999999999" customHeight="1">
      <c r="B358" s="934" t="s">
        <v>1155</v>
      </c>
      <c r="C358" s="935">
        <v>84</v>
      </c>
      <c r="D358" s="936">
        <v>930</v>
      </c>
      <c r="E358" s="937">
        <v>349008</v>
      </c>
      <c r="F358" s="981" t="s">
        <v>2226</v>
      </c>
      <c r="G358" s="938">
        <v>20</v>
      </c>
      <c r="H358" s="939">
        <v>20</v>
      </c>
      <c r="I358" s="938">
        <v>0</v>
      </c>
      <c r="J358" s="938">
        <v>0</v>
      </c>
      <c r="K358" s="940">
        <v>6.5209999999999999</v>
      </c>
      <c r="L358" s="216"/>
      <c r="M358" s="601"/>
    </row>
    <row r="359" spans="2:13" ht="19.149999999999999" customHeight="1">
      <c r="B359" s="934" t="s">
        <v>1155</v>
      </c>
      <c r="C359" s="935">
        <v>84</v>
      </c>
      <c r="D359" s="936">
        <v>930</v>
      </c>
      <c r="E359" s="937">
        <v>349009</v>
      </c>
      <c r="F359" s="981" t="s">
        <v>1504</v>
      </c>
      <c r="G359" s="938">
        <v>0</v>
      </c>
      <c r="H359" s="939">
        <v>0</v>
      </c>
      <c r="I359" s="938">
        <v>0</v>
      </c>
      <c r="J359" s="938">
        <v>0</v>
      </c>
      <c r="K359" s="940">
        <v>3.27</v>
      </c>
      <c r="L359" s="216"/>
      <c r="M359" s="601"/>
    </row>
    <row r="360" spans="2:13" ht="19.149999999999999" customHeight="1">
      <c r="B360" s="934" t="s">
        <v>1155</v>
      </c>
      <c r="C360" s="935">
        <v>84</v>
      </c>
      <c r="D360" s="936">
        <v>930</v>
      </c>
      <c r="E360" s="937">
        <v>349010</v>
      </c>
      <c r="F360" s="981" t="s">
        <v>1523</v>
      </c>
      <c r="G360" s="938">
        <v>36</v>
      </c>
      <c r="H360" s="939">
        <v>36</v>
      </c>
      <c r="I360" s="938">
        <v>36</v>
      </c>
      <c r="J360" s="938">
        <v>36</v>
      </c>
      <c r="K360" s="940">
        <v>43.317999999999998</v>
      </c>
      <c r="L360" s="216"/>
      <c r="M360" s="601"/>
    </row>
    <row r="361" spans="2:13" ht="19.149999999999999" customHeight="1">
      <c r="B361" s="982"/>
      <c r="C361" s="983"/>
      <c r="D361" s="984"/>
      <c r="E361" s="985" t="s">
        <v>765</v>
      </c>
      <c r="F361" s="986" t="s">
        <v>809</v>
      </c>
      <c r="G361" s="987">
        <f>SUM(G353:G360)</f>
        <v>292</v>
      </c>
      <c r="H361" s="988">
        <f>SUM(H353:H360)</f>
        <v>266</v>
      </c>
      <c r="I361" s="987">
        <f>SUM(I353:I360)</f>
        <v>253</v>
      </c>
      <c r="J361" s="987">
        <f>SUM(J353:J360)</f>
        <v>605</v>
      </c>
      <c r="K361" s="989">
        <f>SUM(K353:K360)</f>
        <v>621.15099999999984</v>
      </c>
      <c r="L361" s="216"/>
      <c r="M361" s="601"/>
    </row>
    <row r="362" spans="2:13" ht="19.149999999999999" customHeight="1">
      <c r="B362" s="982"/>
      <c r="C362" s="983"/>
      <c r="D362" s="1025"/>
      <c r="E362" s="985" t="s">
        <v>1034</v>
      </c>
      <c r="F362" s="986" t="s">
        <v>517</v>
      </c>
      <c r="G362" s="987">
        <f>SUMIF($E$211:$E$361,"*.",G211:G361)</f>
        <v>72093</v>
      </c>
      <c r="H362" s="988">
        <f>SUMIF($E$211:$E$361,"*.",H211:H361)</f>
        <v>68514</v>
      </c>
      <c r="I362" s="987">
        <f>SUMIF($E$211:$E$361,"*.",I211:I361)</f>
        <v>68913</v>
      </c>
      <c r="J362" s="987">
        <f>SUMIF($E$211:$E$361,"*.",J211:J361)</f>
        <v>67347</v>
      </c>
      <c r="K362" s="989">
        <f>SUMIF($E$211:$E$361,"*.",K211:K361)</f>
        <v>65812.316859999992</v>
      </c>
      <c r="L362" s="216"/>
      <c r="M362" s="601"/>
    </row>
    <row r="363" spans="2:13" ht="19.149999999999999" customHeight="1">
      <c r="B363" s="922"/>
      <c r="C363" s="932"/>
      <c r="D363" s="924"/>
      <c r="E363" s="925" t="s">
        <v>518</v>
      </c>
      <c r="F363" s="926" t="s">
        <v>519</v>
      </c>
      <c r="G363" s="927"/>
      <c r="H363" s="930"/>
      <c r="I363" s="927"/>
      <c r="J363" s="927"/>
      <c r="K363" s="957"/>
      <c r="L363" s="216"/>
      <c r="M363" s="601"/>
    </row>
    <row r="364" spans="2:13" ht="19.149999999999999" customHeight="1">
      <c r="B364" s="922"/>
      <c r="C364" s="932"/>
      <c r="D364" s="924"/>
      <c r="E364" s="925" t="s">
        <v>520</v>
      </c>
      <c r="F364" s="926" t="s">
        <v>834</v>
      </c>
      <c r="G364" s="927"/>
      <c r="H364" s="930"/>
      <c r="I364" s="927"/>
      <c r="J364" s="927"/>
      <c r="K364" s="957"/>
      <c r="L364" s="216"/>
      <c r="M364" s="601"/>
    </row>
    <row r="365" spans="2:13" ht="19.149999999999999" customHeight="1">
      <c r="B365" s="934" t="s">
        <v>834</v>
      </c>
      <c r="C365" s="935">
        <v>81</v>
      </c>
      <c r="D365" s="936">
        <v>920</v>
      </c>
      <c r="E365" s="937">
        <v>361000</v>
      </c>
      <c r="F365" s="1000" t="s">
        <v>1173</v>
      </c>
      <c r="G365" s="938">
        <v>65</v>
      </c>
      <c r="H365" s="939">
        <v>65</v>
      </c>
      <c r="I365" s="938">
        <v>65</v>
      </c>
      <c r="J365" s="938">
        <v>65</v>
      </c>
      <c r="K365" s="940">
        <v>59.852160000000005</v>
      </c>
      <c r="L365" s="216"/>
      <c r="M365" s="601"/>
    </row>
    <row r="366" spans="2:13" ht="19.149999999999999" customHeight="1">
      <c r="B366" s="982"/>
      <c r="C366" s="983"/>
      <c r="D366" s="984"/>
      <c r="E366" s="985" t="s">
        <v>520</v>
      </c>
      <c r="F366" s="986" t="s">
        <v>691</v>
      </c>
      <c r="G366" s="987">
        <f>SUM(G365:G365)</f>
        <v>65</v>
      </c>
      <c r="H366" s="988">
        <f>SUM(H365:H365)</f>
        <v>65</v>
      </c>
      <c r="I366" s="987">
        <f>SUM(I365:I365)</f>
        <v>65</v>
      </c>
      <c r="J366" s="987">
        <f>SUM(J365:J365)</f>
        <v>65</v>
      </c>
      <c r="K366" s="989">
        <f>SUM(K365:K365)</f>
        <v>59.852160000000005</v>
      </c>
      <c r="L366" s="216"/>
      <c r="M366" s="601"/>
    </row>
    <row r="367" spans="2:13" ht="14">
      <c r="B367" s="922"/>
      <c r="C367" s="932"/>
      <c r="D367" s="924"/>
      <c r="E367" s="925" t="s">
        <v>692</v>
      </c>
      <c r="F367" s="926" t="s">
        <v>693</v>
      </c>
      <c r="G367" s="927"/>
      <c r="H367" s="930"/>
      <c r="I367" s="927"/>
      <c r="J367" s="927"/>
      <c r="K367" s="957"/>
      <c r="L367" s="216"/>
      <c r="M367" s="601"/>
    </row>
    <row r="368" spans="2:13" ht="14">
      <c r="B368" s="934" t="s">
        <v>693</v>
      </c>
      <c r="C368" s="935">
        <v>82</v>
      </c>
      <c r="D368" s="936">
        <v>950</v>
      </c>
      <c r="E368" s="937">
        <v>369000</v>
      </c>
      <c r="F368" s="958" t="s">
        <v>583</v>
      </c>
      <c r="G368" s="938">
        <v>131</v>
      </c>
      <c r="H368" s="939">
        <v>19</v>
      </c>
      <c r="I368" s="938">
        <v>171</v>
      </c>
      <c r="J368" s="938">
        <v>171</v>
      </c>
      <c r="K368" s="940">
        <v>0</v>
      </c>
      <c r="L368" s="216"/>
      <c r="M368" s="601"/>
    </row>
    <row r="369" spans="2:13" ht="19.149999999999999" customHeight="1">
      <c r="B369" s="982"/>
      <c r="C369" s="983"/>
      <c r="D369" s="984"/>
      <c r="E369" s="985" t="s">
        <v>692</v>
      </c>
      <c r="F369" s="1026" t="s">
        <v>921</v>
      </c>
      <c r="G369" s="987">
        <f>SUM(G368:G368)</f>
        <v>131</v>
      </c>
      <c r="H369" s="988">
        <f>SUM(H368:H368)</f>
        <v>19</v>
      </c>
      <c r="I369" s="987">
        <f>SUM(I368:I368)</f>
        <v>171</v>
      </c>
      <c r="J369" s="987">
        <f>SUM(J368:J368)</f>
        <v>171</v>
      </c>
      <c r="K369" s="989">
        <f>SUM(K368:K368)</f>
        <v>0</v>
      </c>
      <c r="L369" s="216"/>
      <c r="M369" s="601"/>
    </row>
    <row r="370" spans="2:13" ht="19.149999999999999" customHeight="1">
      <c r="B370" s="982"/>
      <c r="C370" s="983"/>
      <c r="D370" s="984"/>
      <c r="E370" s="985" t="s">
        <v>518</v>
      </c>
      <c r="F370" s="986" t="s">
        <v>624</v>
      </c>
      <c r="G370" s="987">
        <f>SUMIF($E$364:$E$369,"???.",G364:G369)</f>
        <v>196</v>
      </c>
      <c r="H370" s="988">
        <f>SUMIF($E$364:$E$369,"???.",H364:H369)</f>
        <v>84</v>
      </c>
      <c r="I370" s="987">
        <f>SUMIF($E$364:$E$369,"???.",I364:I369)</f>
        <v>236</v>
      </c>
      <c r="J370" s="987">
        <f>SUMIF($E$364:$E$369,"???.",J364:J369)</f>
        <v>236</v>
      </c>
      <c r="K370" s="989">
        <f>SUMIF($E$364:$E$369,"???.",K364:K369)</f>
        <v>59.852160000000005</v>
      </c>
      <c r="L370" s="216"/>
      <c r="M370" s="601"/>
    </row>
    <row r="371" spans="2:13" ht="19.149999999999999" customHeight="1">
      <c r="B371" s="922"/>
      <c r="C371" s="932"/>
      <c r="D371" s="924"/>
      <c r="E371" s="1012" t="s">
        <v>698</v>
      </c>
      <c r="F371" s="926" t="s">
        <v>1059</v>
      </c>
      <c r="G371" s="927"/>
      <c r="H371" s="930"/>
      <c r="I371" s="927"/>
      <c r="J371" s="927"/>
      <c r="K371" s="957"/>
      <c r="L371" s="216"/>
      <c r="M371" s="601"/>
    </row>
    <row r="372" spans="2:13" ht="19.149999999999999" customHeight="1">
      <c r="B372" s="934" t="s">
        <v>1059</v>
      </c>
      <c r="C372" s="935">
        <v>3</v>
      </c>
      <c r="D372" s="936">
        <v>420</v>
      </c>
      <c r="E372" s="937">
        <v>379000</v>
      </c>
      <c r="F372" s="1014" t="s">
        <v>1935</v>
      </c>
      <c r="G372" s="938">
        <v>35</v>
      </c>
      <c r="H372" s="939">
        <v>20</v>
      </c>
      <c r="I372" s="938">
        <v>35</v>
      </c>
      <c r="J372" s="938">
        <v>47</v>
      </c>
      <c r="K372" s="940">
        <v>0</v>
      </c>
      <c r="M372" s="601"/>
    </row>
    <row r="373" spans="2:13" ht="28">
      <c r="B373" s="934" t="s">
        <v>1059</v>
      </c>
      <c r="C373" s="935">
        <v>3</v>
      </c>
      <c r="D373" s="936">
        <v>770</v>
      </c>
      <c r="E373" s="937">
        <v>379000</v>
      </c>
      <c r="F373" s="1014" t="s">
        <v>2021</v>
      </c>
      <c r="G373" s="938">
        <v>120</v>
      </c>
      <c r="H373" s="939">
        <v>90</v>
      </c>
      <c r="I373" s="938">
        <v>150</v>
      </c>
      <c r="J373" s="938">
        <v>150</v>
      </c>
      <c r="K373" s="940">
        <v>96.01991000000001</v>
      </c>
      <c r="M373" s="601"/>
    </row>
    <row r="374" spans="2:13" ht="27" customHeight="1">
      <c r="B374" s="934" t="s">
        <v>1059</v>
      </c>
      <c r="C374" s="935">
        <v>3</v>
      </c>
      <c r="D374" s="936">
        <v>997</v>
      </c>
      <c r="E374" s="937">
        <v>379000</v>
      </c>
      <c r="F374" s="958" t="s">
        <v>419</v>
      </c>
      <c r="G374" s="938">
        <v>151</v>
      </c>
      <c r="H374" s="939">
        <v>151</v>
      </c>
      <c r="I374" s="938">
        <v>151</v>
      </c>
      <c r="J374" s="938">
        <v>151</v>
      </c>
      <c r="K374" s="940">
        <v>151.48699999999999</v>
      </c>
      <c r="M374" s="601"/>
    </row>
    <row r="375" spans="2:13" ht="19.149999999999999" customHeight="1">
      <c r="B375" s="934" t="s">
        <v>1059</v>
      </c>
      <c r="C375" s="935">
        <v>3</v>
      </c>
      <c r="D375" s="936">
        <v>997</v>
      </c>
      <c r="E375" s="937">
        <v>379001</v>
      </c>
      <c r="F375" s="958" t="s">
        <v>2019</v>
      </c>
      <c r="G375" s="938">
        <v>302</v>
      </c>
      <c r="H375" s="939">
        <v>302</v>
      </c>
      <c r="I375" s="938">
        <v>302</v>
      </c>
      <c r="J375" s="938">
        <v>302</v>
      </c>
      <c r="K375" s="940">
        <v>297.65300000000002</v>
      </c>
      <c r="M375" s="601"/>
    </row>
    <row r="376" spans="2:13" ht="19.149999999999999" customHeight="1">
      <c r="B376" s="982"/>
      <c r="C376" s="983"/>
      <c r="D376" s="984"/>
      <c r="E376" s="1013" t="s">
        <v>698</v>
      </c>
      <c r="F376" s="1026" t="s">
        <v>420</v>
      </c>
      <c r="G376" s="987">
        <f>SUM(G371:G375)</f>
        <v>608</v>
      </c>
      <c r="H376" s="988">
        <f>SUM(H371:H375)</f>
        <v>563</v>
      </c>
      <c r="I376" s="987">
        <f>SUM(I371:I375)</f>
        <v>638</v>
      </c>
      <c r="J376" s="987">
        <f>SUM(J371:J375)</f>
        <v>650</v>
      </c>
      <c r="K376" s="989">
        <f>SUM(K371:K375)</f>
        <v>545.15991000000008</v>
      </c>
      <c r="M376" s="601"/>
    </row>
    <row r="377" spans="2:13" ht="19.149999999999999" customHeight="1" thickBot="1">
      <c r="B377" s="967"/>
      <c r="C377" s="968"/>
      <c r="D377" s="969"/>
      <c r="E377" s="970" t="s">
        <v>163</v>
      </c>
      <c r="F377" s="971" t="s">
        <v>421</v>
      </c>
      <c r="G377" s="972">
        <f>SUMIF($E$82:$E$376,"??.",G82:G376)</f>
        <v>287361</v>
      </c>
      <c r="H377" s="973">
        <f>SUMIF($E$82:$E$376,"??.",H82:H376)</f>
        <v>276838</v>
      </c>
      <c r="I377" s="972">
        <f>SUMIF($E$82:$E$376,"??.",I82:I376)</f>
        <v>277365</v>
      </c>
      <c r="J377" s="972">
        <f>SUMIF($E$82:$E$376,"??.",J82:J376)</f>
        <v>265554</v>
      </c>
      <c r="K377" s="974">
        <f>SUMIF($E$82:$E$376,"??.",K82:K376)</f>
        <v>257087.58671999996</v>
      </c>
      <c r="L377" s="216"/>
      <c r="M377" s="601"/>
    </row>
    <row r="378" spans="2:13" ht="19.149999999999999" customHeight="1" thickTop="1">
      <c r="B378" s="922"/>
      <c r="C378" s="932"/>
      <c r="D378" s="924"/>
      <c r="E378" s="925" t="s">
        <v>165</v>
      </c>
      <c r="F378" s="926" t="s">
        <v>1099</v>
      </c>
      <c r="G378" s="927"/>
      <c r="H378" s="930"/>
      <c r="I378" s="927"/>
      <c r="J378" s="927"/>
      <c r="K378" s="957"/>
      <c r="L378" s="216"/>
      <c r="M378" s="601"/>
    </row>
    <row r="379" spans="2:13" ht="19.149999999999999" customHeight="1">
      <c r="B379" s="922"/>
      <c r="C379" s="932"/>
      <c r="D379" s="924"/>
      <c r="E379" s="925" t="s">
        <v>1100</v>
      </c>
      <c r="F379" s="926" t="s">
        <v>1101</v>
      </c>
      <c r="G379" s="927"/>
      <c r="H379" s="930"/>
      <c r="I379" s="927"/>
      <c r="J379" s="927"/>
      <c r="K379" s="957"/>
      <c r="L379" s="216"/>
      <c r="M379" s="601"/>
    </row>
    <row r="380" spans="2:13" ht="19.149999999999999" customHeight="1">
      <c r="B380" s="934" t="s">
        <v>1101</v>
      </c>
      <c r="C380" s="935">
        <v>2</v>
      </c>
      <c r="D380" s="936">
        <v>210</v>
      </c>
      <c r="E380" s="937">
        <v>413100</v>
      </c>
      <c r="F380" s="101" t="s">
        <v>1102</v>
      </c>
      <c r="G380" s="938">
        <v>0</v>
      </c>
      <c r="H380" s="939">
        <v>270</v>
      </c>
      <c r="I380" s="938">
        <v>0</v>
      </c>
      <c r="J380" s="938">
        <v>0</v>
      </c>
      <c r="K380" s="940">
        <v>307.31261000000001</v>
      </c>
      <c r="L380" s="545"/>
      <c r="M380" s="601"/>
    </row>
    <row r="381" spans="2:13" ht="14">
      <c r="B381" s="1027" t="s">
        <v>1101</v>
      </c>
      <c r="C381" s="1005">
        <v>2</v>
      </c>
      <c r="D381" s="1006">
        <v>420</v>
      </c>
      <c r="E381" s="1007">
        <v>413200</v>
      </c>
      <c r="F381" s="101" t="s">
        <v>1353</v>
      </c>
      <c r="G381" s="1009">
        <v>1995</v>
      </c>
      <c r="H381" s="1028">
        <v>1950</v>
      </c>
      <c r="I381" s="1009">
        <v>2160</v>
      </c>
      <c r="J381" s="1009">
        <v>2160</v>
      </c>
      <c r="K381" s="940">
        <v>1970.4590000000001</v>
      </c>
      <c r="L381" s="545"/>
      <c r="M381" s="601"/>
    </row>
    <row r="382" spans="2:13" ht="19.149999999999999" customHeight="1">
      <c r="B382" s="1027" t="s">
        <v>1101</v>
      </c>
      <c r="C382" s="1005">
        <v>2</v>
      </c>
      <c r="D382" s="1006">
        <v>220</v>
      </c>
      <c r="E382" s="1007">
        <v>413300</v>
      </c>
      <c r="F382" s="1008" t="s">
        <v>1541</v>
      </c>
      <c r="G382" s="1009">
        <v>15</v>
      </c>
      <c r="H382" s="1028">
        <v>15</v>
      </c>
      <c r="I382" s="1009">
        <v>15</v>
      </c>
      <c r="J382" s="1009">
        <v>15</v>
      </c>
      <c r="K382" s="940">
        <v>16.812560000000001</v>
      </c>
      <c r="L382" s="545"/>
      <c r="M382" s="601"/>
    </row>
    <row r="383" spans="2:13" ht="19.149999999999999" customHeight="1">
      <c r="B383" s="982"/>
      <c r="C383" s="983"/>
      <c r="D383" s="984"/>
      <c r="E383" s="985" t="s">
        <v>1100</v>
      </c>
      <c r="F383" s="986" t="s">
        <v>1103</v>
      </c>
      <c r="G383" s="987">
        <f>SUM(G380:G382)</f>
        <v>2010</v>
      </c>
      <c r="H383" s="988">
        <f>SUM(H380:H382)</f>
        <v>2235</v>
      </c>
      <c r="I383" s="987">
        <f>SUM(I380:I382)</f>
        <v>2175</v>
      </c>
      <c r="J383" s="987">
        <f>SUM(J380:J382)</f>
        <v>2175</v>
      </c>
      <c r="K383" s="989">
        <f>SUM(K380:K382)</f>
        <v>2294.5841700000001</v>
      </c>
      <c r="L383" s="216"/>
      <c r="M383" s="601"/>
    </row>
    <row r="384" spans="2:13" ht="19.149999999999999" customHeight="1">
      <c r="B384" s="922"/>
      <c r="C384" s="932"/>
      <c r="D384" s="924"/>
      <c r="E384" s="925" t="s">
        <v>959</v>
      </c>
      <c r="F384" s="926" t="s">
        <v>169</v>
      </c>
      <c r="G384" s="927"/>
      <c r="H384" s="930"/>
      <c r="I384" s="927"/>
      <c r="J384" s="927"/>
      <c r="K384" s="957"/>
      <c r="L384" s="216"/>
      <c r="M384" s="601"/>
    </row>
    <row r="385" spans="2:15" ht="19.149999999999999" customHeight="1">
      <c r="B385" s="934" t="s">
        <v>169</v>
      </c>
      <c r="C385" s="935">
        <v>2</v>
      </c>
      <c r="D385" s="936">
        <v>670</v>
      </c>
      <c r="E385" s="937">
        <v>430000</v>
      </c>
      <c r="F385" s="101" t="s">
        <v>1607</v>
      </c>
      <c r="G385" s="938">
        <f>6150+500</f>
        <v>6650</v>
      </c>
      <c r="H385" s="939">
        <f>6150+500</f>
        <v>6650</v>
      </c>
      <c r="I385" s="938">
        <v>6150</v>
      </c>
      <c r="J385" s="938">
        <v>6400</v>
      </c>
      <c r="K385" s="940">
        <v>6563.87014</v>
      </c>
      <c r="M385" s="601"/>
    </row>
    <row r="386" spans="2:15" ht="19.149999999999999" customHeight="1">
      <c r="B386" s="934" t="s">
        <v>169</v>
      </c>
      <c r="C386" s="935">
        <v>2</v>
      </c>
      <c r="D386" s="936">
        <v>671</v>
      </c>
      <c r="E386" s="937">
        <v>430000</v>
      </c>
      <c r="F386" s="958" t="s">
        <v>2020</v>
      </c>
      <c r="G386" s="938">
        <v>1200</v>
      </c>
      <c r="H386" s="939">
        <v>1200</v>
      </c>
      <c r="I386" s="938">
        <v>4500</v>
      </c>
      <c r="J386" s="938">
        <v>4900</v>
      </c>
      <c r="K386" s="940">
        <v>4876.7598099999996</v>
      </c>
      <c r="M386" s="601"/>
    </row>
    <row r="387" spans="2:15" ht="28">
      <c r="B387" s="934" t="s">
        <v>169</v>
      </c>
      <c r="C387" s="935">
        <v>2</v>
      </c>
      <c r="D387" s="936">
        <v>672</v>
      </c>
      <c r="E387" s="937">
        <v>430000</v>
      </c>
      <c r="F387" s="958" t="s">
        <v>1292</v>
      </c>
      <c r="G387" s="938">
        <v>140</v>
      </c>
      <c r="H387" s="939">
        <v>140</v>
      </c>
      <c r="I387" s="938">
        <v>140</v>
      </c>
      <c r="J387" s="938">
        <v>140</v>
      </c>
      <c r="K387" s="940">
        <v>133.31800000000001</v>
      </c>
      <c r="M387" s="601"/>
    </row>
    <row r="388" spans="2:15" ht="19.149999999999999" customHeight="1">
      <c r="B388" s="982"/>
      <c r="C388" s="983"/>
      <c r="D388" s="984"/>
      <c r="E388" s="985" t="s">
        <v>959</v>
      </c>
      <c r="F388" s="986" t="s">
        <v>1152</v>
      </c>
      <c r="G388" s="987">
        <f>SUM(G385:G387)</f>
        <v>7990</v>
      </c>
      <c r="H388" s="988">
        <f>SUM(H385:H387)</f>
        <v>7990</v>
      </c>
      <c r="I388" s="987">
        <f>SUM(I385:I387)</f>
        <v>10790</v>
      </c>
      <c r="J388" s="987">
        <f>SUM(J385:J387)</f>
        <v>11440</v>
      </c>
      <c r="K388" s="989">
        <f>SUM(K385:K387)</f>
        <v>11573.947949999998</v>
      </c>
      <c r="L388" s="216"/>
      <c r="M388" s="601"/>
    </row>
    <row r="389" spans="2:15" ht="19.149999999999999" customHeight="1">
      <c r="B389" s="922"/>
      <c r="C389" s="932"/>
      <c r="D389" s="924"/>
      <c r="E389" s="925" t="s">
        <v>1153</v>
      </c>
      <c r="F389" s="926" t="s">
        <v>1154</v>
      </c>
      <c r="G389" s="927"/>
      <c r="H389" s="930"/>
      <c r="I389" s="927"/>
      <c r="J389" s="927"/>
      <c r="K389" s="957"/>
      <c r="L389" s="216"/>
      <c r="M389" s="601"/>
    </row>
    <row r="390" spans="2:15" ht="19.149999999999999" customHeight="1">
      <c r="B390" s="934" t="s">
        <v>1154</v>
      </c>
      <c r="C390" s="935">
        <v>9</v>
      </c>
      <c r="D390" s="936">
        <v>280</v>
      </c>
      <c r="E390" s="937">
        <v>443000</v>
      </c>
      <c r="F390" s="101" t="s">
        <v>864</v>
      </c>
      <c r="G390" s="938">
        <v>8500</v>
      </c>
      <c r="H390" s="939">
        <v>6500</v>
      </c>
      <c r="I390" s="938">
        <v>9500</v>
      </c>
      <c r="J390" s="938">
        <v>9500</v>
      </c>
      <c r="K390" s="940">
        <v>8513.9301400000004</v>
      </c>
      <c r="M390" s="601"/>
      <c r="N390" s="605"/>
      <c r="O390" s="605"/>
    </row>
    <row r="391" spans="2:15" ht="21.75" customHeight="1">
      <c r="B391" s="934" t="s">
        <v>1154</v>
      </c>
      <c r="C391" s="935">
        <v>2</v>
      </c>
      <c r="D391" s="936">
        <v>220</v>
      </c>
      <c r="E391" s="937">
        <v>443100</v>
      </c>
      <c r="F391" s="101" t="s">
        <v>512</v>
      </c>
      <c r="G391" s="938">
        <v>7160</v>
      </c>
      <c r="H391" s="939">
        <v>4520</v>
      </c>
      <c r="I391" s="938">
        <v>8400</v>
      </c>
      <c r="J391" s="938">
        <v>8400</v>
      </c>
      <c r="K391" s="940">
        <v>9037.15</v>
      </c>
      <c r="M391" s="601"/>
    </row>
    <row r="392" spans="2:15" ht="23.25" customHeight="1">
      <c r="B392" s="934" t="s">
        <v>1154</v>
      </c>
      <c r="C392" s="935">
        <v>2</v>
      </c>
      <c r="D392" s="936">
        <v>220</v>
      </c>
      <c r="E392" s="937">
        <v>443200</v>
      </c>
      <c r="F392" s="101" t="s">
        <v>1429</v>
      </c>
      <c r="G392" s="938">
        <v>17300</v>
      </c>
      <c r="H392" s="939">
        <v>16200</v>
      </c>
      <c r="I392" s="938">
        <v>17300</v>
      </c>
      <c r="J392" s="938">
        <v>17300</v>
      </c>
      <c r="K392" s="940">
        <v>17787.170030000001</v>
      </c>
      <c r="L392" s="545"/>
      <c r="M392" s="601"/>
    </row>
    <row r="393" spans="2:15" ht="19.149999999999999" customHeight="1">
      <c r="B393" s="982"/>
      <c r="C393" s="983"/>
      <c r="D393" s="984"/>
      <c r="E393" s="985" t="s">
        <v>1153</v>
      </c>
      <c r="F393" s="986" t="s">
        <v>657</v>
      </c>
      <c r="G393" s="987">
        <f>SUM(G390:G392)</f>
        <v>32960</v>
      </c>
      <c r="H393" s="988">
        <f>SUM(H390:H392)</f>
        <v>27220</v>
      </c>
      <c r="I393" s="987">
        <f>SUM(I390:I392)</f>
        <v>35200</v>
      </c>
      <c r="J393" s="987">
        <f>SUM(J390:J392)</f>
        <v>35200</v>
      </c>
      <c r="K393" s="989">
        <f>SUM(K390:K392)</f>
        <v>35338.250169999999</v>
      </c>
      <c r="L393" s="216"/>
      <c r="M393" s="601"/>
    </row>
    <row r="394" spans="2:15" ht="19.149999999999999" customHeight="1">
      <c r="B394" s="922"/>
      <c r="C394" s="932"/>
      <c r="D394" s="924"/>
      <c r="E394" s="925" t="s">
        <v>658</v>
      </c>
      <c r="F394" s="926" t="s">
        <v>659</v>
      </c>
      <c r="G394" s="927"/>
      <c r="H394" s="930"/>
      <c r="I394" s="927"/>
      <c r="J394" s="927"/>
      <c r="K394" s="957"/>
      <c r="L394" s="216"/>
      <c r="M394" s="601"/>
    </row>
    <row r="395" spans="2:15" ht="14">
      <c r="B395" s="934" t="s">
        <v>659</v>
      </c>
      <c r="C395" s="935">
        <v>2</v>
      </c>
      <c r="D395" s="936">
        <v>210</v>
      </c>
      <c r="E395" s="937">
        <v>472000</v>
      </c>
      <c r="F395" s="101" t="s">
        <v>808</v>
      </c>
      <c r="G395" s="938">
        <v>0</v>
      </c>
      <c r="H395" s="939">
        <v>17</v>
      </c>
      <c r="I395" s="938">
        <v>0</v>
      </c>
      <c r="J395" s="938">
        <v>0</v>
      </c>
      <c r="K395" s="940">
        <v>7.8594399999999993</v>
      </c>
      <c r="L395" s="545"/>
      <c r="M395" s="601"/>
    </row>
    <row r="396" spans="2:15" ht="28">
      <c r="B396" s="1027" t="s">
        <v>659</v>
      </c>
      <c r="C396" s="1005">
        <v>2</v>
      </c>
      <c r="D396" s="1006">
        <v>420</v>
      </c>
      <c r="E396" s="1007">
        <v>472000</v>
      </c>
      <c r="F396" s="1029" t="s">
        <v>1354</v>
      </c>
      <c r="G396" s="1009">
        <v>0</v>
      </c>
      <c r="H396" s="1028">
        <v>75</v>
      </c>
      <c r="I396" s="1009">
        <v>190</v>
      </c>
      <c r="J396" s="1009">
        <v>190</v>
      </c>
      <c r="K396" s="940">
        <v>180.67699999999999</v>
      </c>
      <c r="M396" s="601"/>
    </row>
    <row r="397" spans="2:15" ht="28">
      <c r="B397" s="1027" t="s">
        <v>107</v>
      </c>
      <c r="C397" s="1005">
        <v>2</v>
      </c>
      <c r="D397" s="1006">
        <v>420</v>
      </c>
      <c r="E397" s="1007">
        <v>473000</v>
      </c>
      <c r="F397" s="958" t="s">
        <v>1355</v>
      </c>
      <c r="G397" s="1009">
        <v>1356</v>
      </c>
      <c r="H397" s="1028">
        <v>1536</v>
      </c>
      <c r="I397" s="1009">
        <v>1690</v>
      </c>
      <c r="J397" s="1009">
        <v>1690</v>
      </c>
      <c r="K397" s="940">
        <v>1527.174</v>
      </c>
      <c r="M397" s="601"/>
    </row>
    <row r="398" spans="2:15" ht="19.149999999999999" customHeight="1">
      <c r="B398" s="982"/>
      <c r="C398" s="983"/>
      <c r="D398" s="984"/>
      <c r="E398" s="985" t="s">
        <v>658</v>
      </c>
      <c r="F398" s="986" t="s">
        <v>329</v>
      </c>
      <c r="G398" s="987">
        <f>SUM(G395:G397)</f>
        <v>1356</v>
      </c>
      <c r="H398" s="988">
        <f>SUM(H395:H397)</f>
        <v>1628</v>
      </c>
      <c r="I398" s="987">
        <f>SUM(I395:I397)</f>
        <v>1880</v>
      </c>
      <c r="J398" s="987">
        <f>SUM(J395:J397)</f>
        <v>1880</v>
      </c>
      <c r="K398" s="989">
        <f>SUM(K395:K397)</f>
        <v>1715.7104400000001</v>
      </c>
      <c r="L398" s="216"/>
      <c r="M398" s="601"/>
    </row>
    <row r="399" spans="2:15" ht="19.149999999999999" customHeight="1" thickBot="1">
      <c r="B399" s="967"/>
      <c r="C399" s="968"/>
      <c r="D399" s="969"/>
      <c r="E399" s="970" t="s">
        <v>165</v>
      </c>
      <c r="F399" s="971" t="s">
        <v>0</v>
      </c>
      <c r="G399" s="972">
        <f>SUMIF($E$378:$E$398,"??.",G378:G398)</f>
        <v>44316</v>
      </c>
      <c r="H399" s="973">
        <f>SUMIF($E$378:$E$398,"??.",H378:H398)</f>
        <v>39073</v>
      </c>
      <c r="I399" s="972">
        <f>SUMIF($E$378:$E$398,"??.",I378:I398)</f>
        <v>50045</v>
      </c>
      <c r="J399" s="972">
        <f>SUMIF($E$378:$E$398,"??.",J378:J398)</f>
        <v>50695</v>
      </c>
      <c r="K399" s="974">
        <f>SUMIF($E$378:$E$398,"??.",K378:K398)</f>
        <v>50922.492729999998</v>
      </c>
      <c r="L399" s="216"/>
      <c r="M399" s="601"/>
    </row>
    <row r="400" spans="2:15" ht="19.149999999999999" customHeight="1" thickTop="1">
      <c r="B400" s="922"/>
      <c r="C400" s="932"/>
      <c r="D400" s="924"/>
      <c r="E400" s="925" t="s">
        <v>255</v>
      </c>
      <c r="F400" s="926" t="s">
        <v>817</v>
      </c>
      <c r="G400" s="927"/>
      <c r="H400" s="930"/>
      <c r="I400" s="927"/>
      <c r="J400" s="927"/>
      <c r="K400" s="957"/>
      <c r="L400" s="216"/>
      <c r="M400" s="601"/>
    </row>
    <row r="401" spans="2:15" ht="19.149999999999999" customHeight="1">
      <c r="B401" s="934" t="s">
        <v>817</v>
      </c>
      <c r="C401" s="935">
        <v>7</v>
      </c>
      <c r="D401" s="936">
        <v>660</v>
      </c>
      <c r="E401" s="937">
        <v>511000</v>
      </c>
      <c r="F401" s="101" t="s">
        <v>425</v>
      </c>
      <c r="G401" s="938">
        <v>3000</v>
      </c>
      <c r="H401" s="939">
        <v>2300</v>
      </c>
      <c r="I401" s="938">
        <v>5000</v>
      </c>
      <c r="J401" s="938">
        <v>5000</v>
      </c>
      <c r="K401" s="940">
        <v>4352.6204600000001</v>
      </c>
      <c r="M401" s="601"/>
    </row>
    <row r="402" spans="2:15" ht="14">
      <c r="B402" s="934" t="s">
        <v>817</v>
      </c>
      <c r="C402" s="935">
        <v>7</v>
      </c>
      <c r="D402" s="936">
        <v>661</v>
      </c>
      <c r="E402" s="937">
        <v>511000</v>
      </c>
      <c r="F402" s="101" t="s">
        <v>226</v>
      </c>
      <c r="G402" s="938">
        <v>35</v>
      </c>
      <c r="H402" s="939">
        <v>35</v>
      </c>
      <c r="I402" s="938">
        <v>70</v>
      </c>
      <c r="J402" s="938">
        <v>70</v>
      </c>
      <c r="K402" s="940">
        <v>33.047449999999998</v>
      </c>
      <c r="M402" s="601"/>
    </row>
    <row r="403" spans="2:15" ht="19.149999999999999" customHeight="1">
      <c r="B403" s="934" t="s">
        <v>817</v>
      </c>
      <c r="C403" s="935">
        <v>2</v>
      </c>
      <c r="D403" s="936">
        <v>662</v>
      </c>
      <c r="E403" s="937">
        <v>511000</v>
      </c>
      <c r="F403" s="101" t="s">
        <v>1602</v>
      </c>
      <c r="G403" s="938">
        <v>3550</v>
      </c>
      <c r="H403" s="939">
        <v>5380</v>
      </c>
      <c r="I403" s="938">
        <v>5480</v>
      </c>
      <c r="J403" s="938">
        <v>5480</v>
      </c>
      <c r="K403" s="940">
        <v>6547.3380399999996</v>
      </c>
      <c r="M403" s="601"/>
    </row>
    <row r="404" spans="2:15" ht="19.149999999999999" customHeight="1">
      <c r="B404" s="934" t="s">
        <v>817</v>
      </c>
      <c r="C404" s="935">
        <v>7</v>
      </c>
      <c r="D404" s="936">
        <v>510</v>
      </c>
      <c r="E404" s="937">
        <v>513000</v>
      </c>
      <c r="F404" s="101" t="s">
        <v>375</v>
      </c>
      <c r="G404" s="938">
        <f>3500+32-15+60-1-50+200+5</f>
        <v>3731</v>
      </c>
      <c r="H404" s="939">
        <v>2500</v>
      </c>
      <c r="I404" s="938">
        <v>3824</v>
      </c>
      <c r="J404" s="938">
        <v>3824</v>
      </c>
      <c r="K404" s="940">
        <v>3414.66768</v>
      </c>
      <c r="M404" s="601"/>
    </row>
    <row r="405" spans="2:15" ht="14">
      <c r="B405" s="1027" t="s">
        <v>817</v>
      </c>
      <c r="C405" s="935">
        <v>7</v>
      </c>
      <c r="D405" s="936">
        <v>590</v>
      </c>
      <c r="E405" s="937">
        <v>591100</v>
      </c>
      <c r="F405" s="101" t="s">
        <v>457</v>
      </c>
      <c r="G405" s="938">
        <v>350</v>
      </c>
      <c r="H405" s="939">
        <v>350</v>
      </c>
      <c r="I405" s="938">
        <v>400</v>
      </c>
      <c r="J405" s="938">
        <v>400</v>
      </c>
      <c r="K405" s="940">
        <v>425.18309000000005</v>
      </c>
      <c r="M405" s="601"/>
    </row>
    <row r="406" spans="2:15" ht="19.149999999999999" customHeight="1">
      <c r="B406" s="1027" t="s">
        <v>817</v>
      </c>
      <c r="C406" s="935">
        <v>7</v>
      </c>
      <c r="D406" s="936">
        <v>591</v>
      </c>
      <c r="E406" s="937">
        <v>591100</v>
      </c>
      <c r="F406" s="101" t="s">
        <v>673</v>
      </c>
      <c r="G406" s="938">
        <v>5500</v>
      </c>
      <c r="H406" s="939">
        <v>5050</v>
      </c>
      <c r="I406" s="938">
        <v>5300</v>
      </c>
      <c r="J406" s="938">
        <v>5300</v>
      </c>
      <c r="K406" s="940">
        <v>5751.2521100000004</v>
      </c>
      <c r="M406" s="601"/>
    </row>
    <row r="407" spans="2:15" ht="19.149999999999999" customHeight="1">
      <c r="B407" s="1027" t="s">
        <v>817</v>
      </c>
      <c r="C407" s="935">
        <v>7</v>
      </c>
      <c r="D407" s="936">
        <v>593</v>
      </c>
      <c r="E407" s="937">
        <v>591100</v>
      </c>
      <c r="F407" s="958" t="s">
        <v>785</v>
      </c>
      <c r="G407" s="938">
        <v>550</v>
      </c>
      <c r="H407" s="939">
        <v>2250</v>
      </c>
      <c r="I407" s="938">
        <v>2350</v>
      </c>
      <c r="J407" s="938">
        <v>2350</v>
      </c>
      <c r="K407" s="940">
        <v>3628.3887799999998</v>
      </c>
      <c r="M407" s="601"/>
    </row>
    <row r="408" spans="2:15" ht="28">
      <c r="B408" s="1027" t="s">
        <v>817</v>
      </c>
      <c r="C408" s="935">
        <v>7</v>
      </c>
      <c r="D408" s="936">
        <v>594</v>
      </c>
      <c r="E408" s="937">
        <v>591100</v>
      </c>
      <c r="F408" s="958" t="s">
        <v>51</v>
      </c>
      <c r="G408" s="938">
        <v>2000</v>
      </c>
      <c r="H408" s="939">
        <v>3000</v>
      </c>
      <c r="I408" s="938">
        <v>3250</v>
      </c>
      <c r="J408" s="938">
        <v>3250</v>
      </c>
      <c r="K408" s="940">
        <v>4767.5671199999997</v>
      </c>
      <c r="M408" s="601"/>
    </row>
    <row r="409" spans="2:15" ht="19.149999999999999" customHeight="1">
      <c r="B409" s="1027" t="s">
        <v>817</v>
      </c>
      <c r="C409" s="935">
        <v>7</v>
      </c>
      <c r="D409" s="936">
        <v>420</v>
      </c>
      <c r="E409" s="937">
        <v>594000</v>
      </c>
      <c r="F409" s="101" t="s">
        <v>1267</v>
      </c>
      <c r="G409" s="938">
        <v>710</v>
      </c>
      <c r="H409" s="939">
        <v>710</v>
      </c>
      <c r="I409" s="938">
        <v>450</v>
      </c>
      <c r="J409" s="938">
        <v>450</v>
      </c>
      <c r="K409" s="940">
        <v>714.34050999999999</v>
      </c>
      <c r="M409" s="601"/>
    </row>
    <row r="410" spans="2:15" ht="19.149999999999999" customHeight="1">
      <c r="B410" s="1027" t="s">
        <v>817</v>
      </c>
      <c r="C410" s="1005">
        <v>7</v>
      </c>
      <c r="D410" s="1006">
        <v>910</v>
      </c>
      <c r="E410" s="1007">
        <v>594000</v>
      </c>
      <c r="F410" s="958" t="s">
        <v>979</v>
      </c>
      <c r="G410" s="1009">
        <v>170</v>
      </c>
      <c r="H410" s="1028">
        <v>170</v>
      </c>
      <c r="I410" s="1009">
        <v>170</v>
      </c>
      <c r="J410" s="1009">
        <v>170</v>
      </c>
      <c r="K410" s="940">
        <v>228.52699999999999</v>
      </c>
      <c r="M410" s="601"/>
    </row>
    <row r="411" spans="2:15" ht="27" customHeight="1">
      <c r="B411" s="1027" t="s">
        <v>817</v>
      </c>
      <c r="C411" s="1005">
        <v>7</v>
      </c>
      <c r="D411" s="1006">
        <v>490</v>
      </c>
      <c r="E411" s="1007">
        <v>597200</v>
      </c>
      <c r="F411" s="958" t="s">
        <v>1430</v>
      </c>
      <c r="G411" s="1009">
        <v>480</v>
      </c>
      <c r="H411" s="1028">
        <v>480</v>
      </c>
      <c r="I411" s="1009">
        <v>400</v>
      </c>
      <c r="J411" s="1009">
        <v>400</v>
      </c>
      <c r="K411" s="940">
        <v>485.52433000000002</v>
      </c>
      <c r="M411" s="601"/>
    </row>
    <row r="412" spans="2:15" ht="27" customHeight="1">
      <c r="B412" s="1027" t="s">
        <v>817</v>
      </c>
      <c r="C412" s="1005">
        <v>7</v>
      </c>
      <c r="D412" s="1006">
        <v>510</v>
      </c>
      <c r="E412" s="1007">
        <v>599200</v>
      </c>
      <c r="F412" s="958" t="s">
        <v>2198</v>
      </c>
      <c r="G412" s="1009">
        <f>6529+21-140+40+895-150+80-20+350-5</f>
        <v>7600</v>
      </c>
      <c r="H412" s="1028">
        <v>0</v>
      </c>
      <c r="I412" s="1009">
        <v>0</v>
      </c>
      <c r="J412" s="1009">
        <v>0</v>
      </c>
      <c r="K412" s="940">
        <v>0</v>
      </c>
      <c r="M412" s="601"/>
    </row>
    <row r="413" spans="2:15" ht="19.149999999999999" customHeight="1" thickBot="1">
      <c r="B413" s="1030"/>
      <c r="C413" s="968"/>
      <c r="D413" s="969"/>
      <c r="E413" s="970" t="s">
        <v>255</v>
      </c>
      <c r="F413" s="971" t="s">
        <v>436</v>
      </c>
      <c r="G413" s="972">
        <f>SUM(G401:G412)</f>
        <v>27676</v>
      </c>
      <c r="H413" s="973">
        <f>SUM(H401:H412)</f>
        <v>22225</v>
      </c>
      <c r="I413" s="972">
        <f>SUM(I401:I412)</f>
        <v>26694</v>
      </c>
      <c r="J413" s="972">
        <f>SUM(J401:J412)</f>
        <v>26694</v>
      </c>
      <c r="K413" s="974">
        <f>SUM(K401:K412)</f>
        <v>30348.456569999998</v>
      </c>
      <c r="L413" s="216"/>
      <c r="M413" s="601"/>
    </row>
    <row r="414" spans="2:15" ht="19.149999999999999" customHeight="1" thickTop="1" thickBot="1">
      <c r="B414" s="1031"/>
      <c r="C414" s="1032"/>
      <c r="D414" s="1033"/>
      <c r="E414" s="1034" t="s">
        <v>256</v>
      </c>
      <c r="F414" s="1035" t="s">
        <v>437</v>
      </c>
      <c r="G414" s="1036">
        <f>SUMIF($E$3:$E$413,"?.",G3:G413)</f>
        <v>1030000</v>
      </c>
      <c r="H414" s="1036">
        <f>SUMIF($E$3:$E$413,"?.",H3:H413)</f>
        <v>1062953</v>
      </c>
      <c r="I414" s="1036">
        <f>SUMIF($E$3:$E$413,"?.",I3:I413)</f>
        <v>1076048</v>
      </c>
      <c r="J414" s="1036">
        <f>SUMIF($E$3:$E$413,"?.",J3:J413)</f>
        <v>1000750</v>
      </c>
      <c r="K414" s="1037">
        <f>SUMIF($E$3:$E$413,"?.",K3:K413)</f>
        <v>991242.6525300002</v>
      </c>
      <c r="L414" s="216"/>
      <c r="M414" s="601"/>
      <c r="N414" s="605"/>
      <c r="O414" s="605"/>
    </row>
    <row r="415" spans="2:15" ht="19.399999999999999" customHeight="1">
      <c r="M415" s="601"/>
    </row>
    <row r="416" spans="2:15" ht="19.149999999999999" customHeight="1">
      <c r="G416" s="1045"/>
      <c r="K416" s="1046"/>
      <c r="M416" s="601"/>
    </row>
    <row r="417" spans="7:13" ht="18.75" customHeight="1">
      <c r="G417" s="1046"/>
      <c r="H417" s="1046"/>
      <c r="I417" s="1046"/>
      <c r="J417" s="1046"/>
      <c r="K417" s="1046"/>
      <c r="M417" s="589"/>
    </row>
    <row r="418" spans="7:13" ht="19.399999999999999" customHeight="1">
      <c r="G418" s="1047"/>
      <c r="H418" s="1047"/>
      <c r="I418" s="1047"/>
      <c r="J418" s="1047"/>
      <c r="K418" s="1047"/>
      <c r="M418" s="590"/>
    </row>
    <row r="420" spans="7:13" ht="19.399999999999999" customHeight="1">
      <c r="M420" s="601"/>
    </row>
    <row r="421" spans="7:13" ht="19.399999999999999" customHeight="1">
      <c r="M421" s="601"/>
    </row>
    <row r="422" spans="7:13" ht="19.399999999999999" customHeight="1">
      <c r="M422" s="601"/>
    </row>
    <row r="423" spans="7:13" ht="19.399999999999999" customHeight="1">
      <c r="M423" s="601"/>
    </row>
    <row r="424" spans="7:13" ht="19.399999999999999" customHeight="1">
      <c r="M424" s="601"/>
    </row>
    <row r="425" spans="7:13" ht="19.399999999999999" customHeight="1">
      <c r="M425" s="601"/>
    </row>
    <row r="426" spans="7:13" ht="19.399999999999999" customHeight="1">
      <c r="M426" s="601"/>
    </row>
    <row r="427" spans="7:13" ht="19.399999999999999" customHeight="1">
      <c r="M427" s="601"/>
    </row>
    <row r="428" spans="7:13" ht="19.399999999999999" customHeight="1">
      <c r="M428" s="601"/>
    </row>
    <row r="429" spans="7:13" ht="19.399999999999999" customHeight="1">
      <c r="M429" s="601"/>
    </row>
    <row r="430" spans="7:13" ht="19.399999999999999" customHeight="1">
      <c r="M430" s="601"/>
    </row>
    <row r="431" spans="7:13" ht="19.399999999999999" customHeight="1">
      <c r="M431" s="601"/>
    </row>
    <row r="432" spans="7:13" ht="19.399999999999999" customHeight="1">
      <c r="M432" s="601"/>
    </row>
    <row r="433" spans="13:13" ht="19.399999999999999" customHeight="1">
      <c r="M433" s="601"/>
    </row>
    <row r="434" spans="13:13" ht="19.399999999999999" customHeight="1">
      <c r="M434" s="601"/>
    </row>
    <row r="435" spans="13:13" ht="19.399999999999999" customHeight="1">
      <c r="M435" s="601"/>
    </row>
    <row r="436" spans="13:13" ht="19.399999999999999" customHeight="1">
      <c r="M436" s="601"/>
    </row>
    <row r="437" spans="13:13" ht="19.399999999999999" customHeight="1">
      <c r="M437" s="601"/>
    </row>
    <row r="438" spans="13:13" ht="19.399999999999999" customHeight="1">
      <c r="M438" s="601"/>
    </row>
    <row r="439" spans="13:13" ht="19.399999999999999" customHeight="1">
      <c r="M439" s="601"/>
    </row>
    <row r="440" spans="13:13" ht="19.399999999999999" customHeight="1">
      <c r="M440" s="601"/>
    </row>
    <row r="441" spans="13:13" ht="19.399999999999999" customHeight="1">
      <c r="M441" s="601"/>
    </row>
    <row r="442" spans="13:13" ht="19.399999999999999" customHeight="1">
      <c r="M442" s="601"/>
    </row>
    <row r="443" spans="13:13" ht="19.399999999999999" customHeight="1">
      <c r="M443" s="601"/>
    </row>
    <row r="444" spans="13:13" ht="19.399999999999999" customHeight="1">
      <c r="M444" s="601"/>
    </row>
    <row r="445" spans="13:13" ht="19.399999999999999" customHeight="1">
      <c r="M445" s="601"/>
    </row>
    <row r="446" spans="13:13" ht="19.399999999999999" customHeight="1">
      <c r="M446" s="601"/>
    </row>
    <row r="447" spans="13:13" ht="19.399999999999999" customHeight="1">
      <c r="M447" s="601"/>
    </row>
    <row r="448" spans="13:13" ht="19.399999999999999" customHeight="1">
      <c r="M448" s="601"/>
    </row>
    <row r="1651" spans="10:10" ht="19.149999999999999" customHeight="1">
      <c r="J1651" s="1044">
        <v>50</v>
      </c>
    </row>
    <row r="1818" spans="10:10" ht="19.149999999999999" customHeight="1">
      <c r="J1818" s="1044">
        <f>29950-720-450-50</f>
        <v>28730</v>
      </c>
    </row>
  </sheetData>
  <mergeCells count="1">
    <mergeCell ref="S1:T1"/>
  </mergeCells>
  <phoneticPr fontId="12" type="noConversion"/>
  <conditionalFormatting sqref="G418:K418 M418">
    <cfRule type="cellIs" dxfId="9" priority="1" operator="equal">
      <formula>TRUE</formula>
    </cfRule>
    <cfRule type="cellIs" dxfId="8" priority="2" operator="equal">
      <formula>FALSE</formula>
    </cfRule>
  </conditionalFormatting>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4" manualBreakCount="14">
    <brk id="22" min="2" max="10" man="1"/>
    <brk id="40" min="2" max="10" man="1"/>
    <brk id="61" min="2" max="10" man="1"/>
    <brk id="81" min="2" max="10" man="1"/>
    <brk id="121" min="2" max="10" man="1"/>
    <brk id="140" min="2" max="10" man="1"/>
    <brk id="169" min="2" max="10" man="1"/>
    <brk id="185" min="2" max="10" man="1"/>
    <brk id="205" min="2" max="10" man="1"/>
    <brk id="219" min="2" max="10" man="1"/>
    <brk id="322" min="2" max="10" man="1"/>
    <brk id="344" min="2" max="10" man="1"/>
    <brk id="362" min="2" max="10" man="1"/>
    <brk id="377" min="2"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3" tint="0.79998168889431442"/>
    <pageSetUpPr fitToPage="1"/>
  </sheetPr>
  <dimension ref="A1:Z2613"/>
  <sheetViews>
    <sheetView showGridLines="0" rightToLeft="1" view="pageBreakPreview" zoomScale="90" zoomScaleNormal="100" zoomScaleSheetLayoutView="90" workbookViewId="0">
      <pane ySplit="2" topLeftCell="A3" activePane="bottomLeft" state="frozen"/>
      <selection activeCell="D68" sqref="D68"/>
      <selection pane="bottomLeft" activeCell="A3" sqref="A3"/>
    </sheetView>
  </sheetViews>
  <sheetFormatPr defaultColWidth="9.58203125" defaultRowHeight="19.399999999999999" customHeight="1"/>
  <cols>
    <col min="1" max="1" width="2.08203125" style="682" customWidth="1"/>
    <col min="2" max="2" width="10.08203125" style="900" customWidth="1"/>
    <col min="3" max="3" width="3.5" style="870" customWidth="1"/>
    <col min="4" max="4" width="5.58203125" style="871" customWidth="1"/>
    <col min="5" max="5" width="6.58203125" style="901" customWidth="1"/>
    <col min="6" max="6" width="38.75" style="902" customWidth="1"/>
    <col min="7" max="7" width="5.08203125" style="892" customWidth="1"/>
    <col min="8" max="8" width="5.75" style="892" customWidth="1"/>
    <col min="9" max="9" width="2.08203125" style="881" customWidth="1"/>
    <col min="10" max="10" width="10.58203125" style="903" customWidth="1"/>
    <col min="11" max="14" width="10.58203125" style="885" customWidth="1"/>
    <col min="15" max="15" width="3.58203125" style="877" customWidth="1"/>
    <col min="16" max="16" width="9.75" style="877" customWidth="1"/>
    <col min="17" max="17" width="9.58203125" style="649" customWidth="1"/>
    <col min="18" max="18" width="9.58203125" style="591" customWidth="1"/>
    <col min="19" max="20" width="9.58203125" style="592"/>
    <col min="21" max="21" width="10.58203125" style="597" customWidth="1"/>
    <col min="22" max="22" width="11.75" style="592" customWidth="1"/>
    <col min="23" max="23" width="9.58203125" style="592" customWidth="1"/>
    <col min="24" max="24" width="9.58203125" style="649" customWidth="1"/>
    <col min="25" max="26" width="9.58203125" style="592"/>
    <col min="27" max="16384" width="9.58203125" style="591"/>
  </cols>
  <sheetData>
    <row r="1" spans="1:26" s="587" customFormat="1" ht="19.149999999999999" customHeight="1">
      <c r="A1" s="658"/>
      <c r="B1" s="659"/>
      <c r="C1" s="660"/>
      <c r="D1" s="661"/>
      <c r="E1" s="662"/>
      <c r="F1" s="663" t="str">
        <f>'תקבולים מפורט'!F1</f>
        <v>ה צ ע ת  התקציב הרגיל לשנת: 2021</v>
      </c>
      <c r="G1" s="664" t="s">
        <v>945</v>
      </c>
      <c r="H1" s="664" t="s">
        <v>438</v>
      </c>
      <c r="I1" s="665"/>
      <c r="J1" s="666" t="s">
        <v>780</v>
      </c>
      <c r="K1" s="666" t="s">
        <v>954</v>
      </c>
      <c r="L1" s="666" t="s">
        <v>2109</v>
      </c>
      <c r="M1" s="666" t="s">
        <v>780</v>
      </c>
      <c r="N1" s="667" t="s">
        <v>955</v>
      </c>
      <c r="O1" s="668"/>
      <c r="P1" s="668"/>
      <c r="Q1" s="649"/>
      <c r="S1" s="628"/>
      <c r="T1" s="628"/>
      <c r="U1" s="629"/>
      <c r="V1" s="1151"/>
      <c r="W1" s="1151"/>
      <c r="X1" s="651"/>
      <c r="Y1" s="1152"/>
      <c r="Z1" s="1152"/>
    </row>
    <row r="2" spans="1:26" s="588" customFormat="1" ht="19.149999999999999" customHeight="1" thickBot="1">
      <c r="A2" s="669"/>
      <c r="B2" s="670" t="s">
        <v>1356</v>
      </c>
      <c r="C2" s="671" t="s">
        <v>41</v>
      </c>
      <c r="D2" s="672" t="s">
        <v>40</v>
      </c>
      <c r="E2" s="673" t="s">
        <v>158</v>
      </c>
      <c r="F2" s="674" t="s">
        <v>1880</v>
      </c>
      <c r="G2" s="675" t="s">
        <v>753</v>
      </c>
      <c r="H2" s="675" t="s">
        <v>1242</v>
      </c>
      <c r="I2" s="676" t="s">
        <v>42</v>
      </c>
      <c r="J2" s="677" t="s">
        <v>2081</v>
      </c>
      <c r="K2" s="678" t="s">
        <v>1915</v>
      </c>
      <c r="L2" s="679" t="s">
        <v>2080</v>
      </c>
      <c r="M2" s="679" t="s">
        <v>2079</v>
      </c>
      <c r="N2" s="680" t="s">
        <v>1796</v>
      </c>
      <c r="O2" s="681"/>
      <c r="P2" s="681"/>
      <c r="Q2" s="650"/>
      <c r="S2" s="628"/>
      <c r="T2" s="628"/>
      <c r="U2" s="630"/>
      <c r="V2" s="631"/>
      <c r="W2" s="631"/>
      <c r="X2" s="652"/>
      <c r="Y2" s="627"/>
      <c r="Z2" s="627"/>
    </row>
    <row r="3" spans="1:26" ht="19.149999999999999" customHeight="1">
      <c r="B3" s="683"/>
      <c r="C3" s="684"/>
      <c r="D3" s="685"/>
      <c r="E3" s="686" t="s">
        <v>386</v>
      </c>
      <c r="F3" s="687" t="s">
        <v>754</v>
      </c>
      <c r="G3" s="688"/>
      <c r="H3" s="688"/>
      <c r="I3" s="689" t="str">
        <f>IF(C3=100,"מ"," ")</f>
        <v xml:space="preserve"> </v>
      </c>
      <c r="J3" s="690"/>
      <c r="K3" s="691"/>
      <c r="L3" s="692"/>
      <c r="M3" s="693"/>
      <c r="N3" s="694"/>
      <c r="O3" s="681"/>
      <c r="P3" s="699"/>
      <c r="Q3" s="650"/>
      <c r="U3" s="632"/>
      <c r="X3" s="650"/>
    </row>
    <row r="4" spans="1:26" ht="19.149999999999999" customHeight="1">
      <c r="B4" s="683"/>
      <c r="C4" s="684"/>
      <c r="D4" s="685"/>
      <c r="E4" s="695" t="s">
        <v>755</v>
      </c>
      <c r="F4" s="687" t="s">
        <v>75</v>
      </c>
      <c r="G4" s="688"/>
      <c r="H4" s="688"/>
      <c r="I4" s="696" t="str">
        <f>IF(C4=100,"מ"," ")</f>
        <v xml:space="preserve"> </v>
      </c>
      <c r="J4" s="690"/>
      <c r="K4" s="697"/>
      <c r="L4" s="693"/>
      <c r="M4" s="693"/>
      <c r="N4" s="698"/>
      <c r="O4" s="699"/>
      <c r="P4" s="699"/>
      <c r="U4" s="632"/>
    </row>
    <row r="5" spans="1:26" ht="19.149999999999999" customHeight="1">
      <c r="B5" s="683"/>
      <c r="C5" s="684"/>
      <c r="D5" s="685"/>
      <c r="E5" s="695" t="s">
        <v>756</v>
      </c>
      <c r="F5" s="687" t="s">
        <v>757</v>
      </c>
      <c r="G5" s="688"/>
      <c r="H5" s="688"/>
      <c r="I5" s="696" t="str">
        <f>IF(C5=100,"מ"," ")</f>
        <v xml:space="preserve"> </v>
      </c>
      <c r="J5" s="690"/>
      <c r="K5" s="700"/>
      <c r="L5" s="693"/>
      <c r="M5" s="693"/>
      <c r="N5" s="698"/>
      <c r="O5" s="699"/>
      <c r="P5" s="699"/>
      <c r="U5" s="632"/>
    </row>
    <row r="6" spans="1:26" ht="19.149999999999999" customHeight="1">
      <c r="B6" s="606" t="s">
        <v>757</v>
      </c>
      <c r="C6" s="655">
        <v>1</v>
      </c>
      <c r="D6" s="615">
        <v>100</v>
      </c>
      <c r="E6" s="608">
        <v>611100</v>
      </c>
      <c r="F6" s="701" t="s">
        <v>848</v>
      </c>
      <c r="G6" s="610">
        <v>4</v>
      </c>
      <c r="H6" s="610">
        <v>4</v>
      </c>
      <c r="I6" s="702" t="s">
        <v>669</v>
      </c>
      <c r="J6" s="616">
        <f>3390-40</f>
        <v>3350</v>
      </c>
      <c r="K6" s="613">
        <v>3250</v>
      </c>
      <c r="L6" s="616">
        <v>3268</v>
      </c>
      <c r="M6" s="616">
        <v>3288</v>
      </c>
      <c r="N6" s="614">
        <v>3083.9394900000002</v>
      </c>
      <c r="O6" s="648"/>
      <c r="P6" s="648"/>
      <c r="R6" s="626"/>
      <c r="T6" s="633"/>
      <c r="U6" s="634"/>
    </row>
    <row r="7" spans="1:26" ht="19.149999999999999" customHeight="1">
      <c r="B7" s="606" t="s">
        <v>757</v>
      </c>
      <c r="C7" s="654">
        <v>1</v>
      </c>
      <c r="D7" s="607">
        <v>514</v>
      </c>
      <c r="E7" s="608">
        <v>611100</v>
      </c>
      <c r="F7" s="703" t="s">
        <v>960</v>
      </c>
      <c r="G7" s="610"/>
      <c r="H7" s="610"/>
      <c r="I7" s="702" t="s">
        <v>44</v>
      </c>
      <c r="J7" s="616">
        <v>10</v>
      </c>
      <c r="K7" s="613">
        <v>10</v>
      </c>
      <c r="L7" s="616">
        <v>10</v>
      </c>
      <c r="M7" s="616">
        <v>10</v>
      </c>
      <c r="N7" s="614">
        <v>12.81</v>
      </c>
      <c r="O7" s="648"/>
      <c r="P7" s="648"/>
      <c r="R7" s="626"/>
      <c r="T7" s="633"/>
      <c r="U7" s="634"/>
    </row>
    <row r="8" spans="1:26" ht="19.149999999999999" customHeight="1">
      <c r="B8" s="606" t="s">
        <v>757</v>
      </c>
      <c r="C8" s="654">
        <v>10</v>
      </c>
      <c r="D8" s="607">
        <v>540</v>
      </c>
      <c r="E8" s="608">
        <v>611100</v>
      </c>
      <c r="F8" s="609" t="s">
        <v>1648</v>
      </c>
      <c r="G8" s="610"/>
      <c r="H8" s="610"/>
      <c r="I8" s="611" t="s">
        <v>175</v>
      </c>
      <c r="J8" s="616">
        <v>26</v>
      </c>
      <c r="K8" s="613">
        <v>26</v>
      </c>
      <c r="L8" s="616">
        <v>26</v>
      </c>
      <c r="M8" s="616">
        <v>30</v>
      </c>
      <c r="N8" s="614">
        <v>24.563359999999999</v>
      </c>
      <c r="O8" s="648"/>
      <c r="P8" s="648"/>
      <c r="R8" s="626"/>
      <c r="T8" s="633"/>
      <c r="U8" s="634"/>
    </row>
    <row r="9" spans="1:26" ht="19.149999999999999" customHeight="1">
      <c r="B9" s="606" t="s">
        <v>757</v>
      </c>
      <c r="C9" s="655">
        <v>1</v>
      </c>
      <c r="D9" s="615">
        <v>780</v>
      </c>
      <c r="E9" s="608">
        <v>611100</v>
      </c>
      <c r="F9" s="609" t="s">
        <v>758</v>
      </c>
      <c r="G9" s="610"/>
      <c r="H9" s="610"/>
      <c r="I9" s="611" t="s">
        <v>44</v>
      </c>
      <c r="J9" s="616">
        <v>23</v>
      </c>
      <c r="K9" s="613">
        <v>23</v>
      </c>
      <c r="L9" s="616">
        <v>23</v>
      </c>
      <c r="M9" s="616">
        <v>25</v>
      </c>
      <c r="N9" s="614">
        <v>7.5502000000000002</v>
      </c>
      <c r="O9" s="648"/>
      <c r="P9" s="648"/>
      <c r="R9" s="626"/>
      <c r="T9" s="633"/>
      <c r="U9" s="634"/>
    </row>
    <row r="10" spans="1:26" ht="19.149999999999999" customHeight="1">
      <c r="B10" s="617"/>
      <c r="C10" s="656"/>
      <c r="D10" s="618"/>
      <c r="E10" s="619" t="s">
        <v>756</v>
      </c>
      <c r="F10" s="620" t="s">
        <v>478</v>
      </c>
      <c r="G10" s="621">
        <f>SUM(G5:G9)</f>
        <v>4</v>
      </c>
      <c r="H10" s="621">
        <f>SUM(H5:H9)</f>
        <v>4</v>
      </c>
      <c r="I10" s="622"/>
      <c r="J10" s="623">
        <f>SUM(J5:J9)</f>
        <v>3409</v>
      </c>
      <c r="K10" s="624">
        <f>SUM(K5:K9)</f>
        <v>3309</v>
      </c>
      <c r="L10" s="623">
        <f>SUM(L5:L9)</f>
        <v>3327</v>
      </c>
      <c r="M10" s="623">
        <f>SUM(M5:M9)</f>
        <v>3353</v>
      </c>
      <c r="N10" s="625">
        <f>SUM(N5:N9)</f>
        <v>3128.8630500000004</v>
      </c>
      <c r="O10" s="648"/>
      <c r="P10" s="648"/>
      <c r="R10" s="626"/>
      <c r="T10" s="633"/>
      <c r="U10" s="632"/>
    </row>
    <row r="11" spans="1:26" ht="19.149999999999999" customHeight="1">
      <c r="B11" s="704"/>
      <c r="C11" s="684"/>
      <c r="D11" s="705"/>
      <c r="E11" s="695" t="s">
        <v>479</v>
      </c>
      <c r="F11" s="687" t="s">
        <v>480</v>
      </c>
      <c r="G11" s="706"/>
      <c r="H11" s="706"/>
      <c r="I11" s="707" t="str">
        <f>IF(C11&gt;100,"ג"," ")</f>
        <v xml:space="preserve"> </v>
      </c>
      <c r="J11" s="690"/>
      <c r="K11" s="693"/>
      <c r="L11" s="690"/>
      <c r="M11" s="690"/>
      <c r="N11" s="708"/>
      <c r="O11" s="648"/>
      <c r="P11" s="648"/>
      <c r="R11" s="626"/>
      <c r="T11" s="633"/>
      <c r="U11" s="632"/>
    </row>
    <row r="12" spans="1:26" ht="19.149999999999999" customHeight="1">
      <c r="B12" s="606" t="s">
        <v>480</v>
      </c>
      <c r="C12" s="655">
        <v>1</v>
      </c>
      <c r="D12" s="615">
        <v>100</v>
      </c>
      <c r="E12" s="608">
        <v>611200</v>
      </c>
      <c r="F12" s="609" t="s">
        <v>328</v>
      </c>
      <c r="G12" s="610">
        <v>7</v>
      </c>
      <c r="H12" s="610">
        <v>6.9342666666666659</v>
      </c>
      <c r="I12" s="611" t="s">
        <v>669</v>
      </c>
      <c r="J12" s="616">
        <f>1230+70</f>
        <v>1300</v>
      </c>
      <c r="K12" s="613">
        <v>1220</v>
      </c>
      <c r="L12" s="616">
        <v>1236</v>
      </c>
      <c r="M12" s="616">
        <v>1261</v>
      </c>
      <c r="N12" s="614">
        <v>1214.49019</v>
      </c>
      <c r="O12" s="648"/>
      <c r="P12" s="648"/>
      <c r="R12" s="626"/>
      <c r="T12" s="633"/>
      <c r="U12" s="634"/>
    </row>
    <row r="13" spans="1:26" ht="19.149999999999999" customHeight="1">
      <c r="B13" s="606" t="s">
        <v>480</v>
      </c>
      <c r="C13" s="654">
        <v>1</v>
      </c>
      <c r="D13" s="607">
        <v>470</v>
      </c>
      <c r="E13" s="608">
        <v>611200</v>
      </c>
      <c r="F13" s="609" t="s">
        <v>286</v>
      </c>
      <c r="G13" s="610"/>
      <c r="H13" s="610"/>
      <c r="I13" s="611" t="s">
        <v>44</v>
      </c>
      <c r="J13" s="616">
        <v>8</v>
      </c>
      <c r="K13" s="613">
        <v>8</v>
      </c>
      <c r="L13" s="616">
        <v>8</v>
      </c>
      <c r="M13" s="616">
        <v>8</v>
      </c>
      <c r="N13" s="614">
        <v>4.6283199999999995</v>
      </c>
      <c r="O13" s="648"/>
      <c r="P13" s="648"/>
      <c r="R13" s="626"/>
      <c r="T13" s="633"/>
      <c r="U13" s="634"/>
    </row>
    <row r="14" spans="1:26" ht="19.149999999999999" customHeight="1">
      <c r="B14" s="606" t="s">
        <v>480</v>
      </c>
      <c r="C14" s="654">
        <v>12</v>
      </c>
      <c r="D14" s="607">
        <v>550</v>
      </c>
      <c r="E14" s="608">
        <v>611200</v>
      </c>
      <c r="F14" s="609" t="s">
        <v>1741</v>
      </c>
      <c r="G14" s="610"/>
      <c r="H14" s="610"/>
      <c r="I14" s="611" t="s">
        <v>44</v>
      </c>
      <c r="J14" s="616">
        <v>5</v>
      </c>
      <c r="K14" s="613">
        <v>5</v>
      </c>
      <c r="L14" s="616">
        <v>5</v>
      </c>
      <c r="M14" s="616">
        <v>5</v>
      </c>
      <c r="N14" s="614">
        <v>4.3250200000000003</v>
      </c>
      <c r="O14" s="648"/>
      <c r="P14" s="648"/>
      <c r="R14" s="626"/>
      <c r="T14" s="633"/>
      <c r="U14" s="634"/>
    </row>
    <row r="15" spans="1:26" ht="28">
      <c r="B15" s="606" t="s">
        <v>1831</v>
      </c>
      <c r="C15" s="655">
        <v>1</v>
      </c>
      <c r="D15" s="615">
        <v>560</v>
      </c>
      <c r="E15" s="608">
        <v>611200</v>
      </c>
      <c r="F15" s="609" t="s">
        <v>1892</v>
      </c>
      <c r="G15" s="610"/>
      <c r="H15" s="610"/>
      <c r="I15" s="611" t="s">
        <v>175</v>
      </c>
      <c r="J15" s="616">
        <v>30</v>
      </c>
      <c r="K15" s="613">
        <v>27</v>
      </c>
      <c r="L15" s="616">
        <v>27</v>
      </c>
      <c r="M15" s="616">
        <v>30</v>
      </c>
      <c r="N15" s="614">
        <v>19.093400000000003</v>
      </c>
      <c r="O15" s="648"/>
      <c r="P15" s="648"/>
      <c r="R15" s="626"/>
      <c r="T15" s="633"/>
      <c r="U15" s="634"/>
    </row>
    <row r="16" spans="1:26" ht="19.149999999999999" customHeight="1">
      <c r="B16" s="606" t="s">
        <v>480</v>
      </c>
      <c r="C16" s="654">
        <v>1</v>
      </c>
      <c r="D16" s="607">
        <v>561</v>
      </c>
      <c r="E16" s="608">
        <v>611200</v>
      </c>
      <c r="F16" s="609" t="s">
        <v>1562</v>
      </c>
      <c r="G16" s="610"/>
      <c r="H16" s="610"/>
      <c r="I16" s="611" t="s">
        <v>175</v>
      </c>
      <c r="J16" s="616">
        <v>5</v>
      </c>
      <c r="K16" s="613">
        <v>5</v>
      </c>
      <c r="L16" s="616">
        <v>15</v>
      </c>
      <c r="M16" s="616">
        <v>15</v>
      </c>
      <c r="N16" s="614">
        <v>0.53160000000000007</v>
      </c>
      <c r="O16" s="648"/>
      <c r="P16" s="648"/>
      <c r="R16" s="626"/>
      <c r="T16" s="633"/>
      <c r="U16" s="634"/>
    </row>
    <row r="17" spans="1:21" ht="19.149999999999999" customHeight="1">
      <c r="B17" s="606" t="s">
        <v>480</v>
      </c>
      <c r="C17" s="654">
        <v>10</v>
      </c>
      <c r="D17" s="607">
        <v>570</v>
      </c>
      <c r="E17" s="608">
        <v>611200</v>
      </c>
      <c r="F17" s="701" t="s">
        <v>835</v>
      </c>
      <c r="G17" s="610"/>
      <c r="H17" s="610"/>
      <c r="I17" s="611" t="s">
        <v>175</v>
      </c>
      <c r="J17" s="616">
        <v>84</v>
      </c>
      <c r="K17" s="613">
        <v>84</v>
      </c>
      <c r="L17" s="616">
        <v>84</v>
      </c>
      <c r="M17" s="616">
        <v>84</v>
      </c>
      <c r="N17" s="614">
        <v>54.237749999999998</v>
      </c>
      <c r="O17" s="648"/>
      <c r="P17" s="648"/>
      <c r="R17" s="626"/>
      <c r="T17" s="633"/>
      <c r="U17" s="634"/>
    </row>
    <row r="18" spans="1:21" ht="19.149999999999999" customHeight="1">
      <c r="B18" s="606" t="s">
        <v>480</v>
      </c>
      <c r="C18" s="655">
        <v>1</v>
      </c>
      <c r="D18" s="615">
        <v>780</v>
      </c>
      <c r="E18" s="608">
        <v>611200</v>
      </c>
      <c r="F18" s="609" t="s">
        <v>967</v>
      </c>
      <c r="G18" s="610"/>
      <c r="H18" s="610"/>
      <c r="I18" s="611" t="s">
        <v>44</v>
      </c>
      <c r="J18" s="616">
        <v>76</v>
      </c>
      <c r="K18" s="613">
        <v>76</v>
      </c>
      <c r="L18" s="616">
        <v>73</v>
      </c>
      <c r="M18" s="616">
        <v>76</v>
      </c>
      <c r="N18" s="614">
        <v>38.389809999999997</v>
      </c>
      <c r="O18" s="648"/>
      <c r="P18" s="648"/>
      <c r="R18" s="626"/>
      <c r="T18" s="633"/>
      <c r="U18" s="634"/>
    </row>
    <row r="19" spans="1:21" ht="19.149999999999999" customHeight="1">
      <c r="B19" s="606" t="s">
        <v>480</v>
      </c>
      <c r="C19" s="654">
        <v>1</v>
      </c>
      <c r="D19" s="607">
        <v>781</v>
      </c>
      <c r="E19" s="608">
        <v>611200</v>
      </c>
      <c r="F19" s="609" t="s">
        <v>1217</v>
      </c>
      <c r="G19" s="610"/>
      <c r="H19" s="610"/>
      <c r="I19" s="611" t="s">
        <v>44</v>
      </c>
      <c r="J19" s="616">
        <v>95</v>
      </c>
      <c r="K19" s="613">
        <v>100</v>
      </c>
      <c r="L19" s="616">
        <v>100</v>
      </c>
      <c r="M19" s="616">
        <v>100</v>
      </c>
      <c r="N19" s="614">
        <v>86.628979999999999</v>
      </c>
      <c r="O19" s="648"/>
      <c r="P19" s="648"/>
      <c r="R19" s="626"/>
      <c r="T19" s="633"/>
      <c r="U19" s="634"/>
    </row>
    <row r="20" spans="1:21" ht="19.149999999999999" customHeight="1">
      <c r="B20" s="606" t="s">
        <v>480</v>
      </c>
      <c r="C20" s="655">
        <v>1</v>
      </c>
      <c r="D20" s="615">
        <v>782</v>
      </c>
      <c r="E20" s="608">
        <v>611200</v>
      </c>
      <c r="F20" s="609" t="s">
        <v>569</v>
      </c>
      <c r="G20" s="610"/>
      <c r="H20" s="610"/>
      <c r="I20" s="611" t="s">
        <v>44</v>
      </c>
      <c r="J20" s="616">
        <v>27</v>
      </c>
      <c r="K20" s="613">
        <v>22</v>
      </c>
      <c r="L20" s="616">
        <v>22</v>
      </c>
      <c r="M20" s="616">
        <v>28</v>
      </c>
      <c r="N20" s="614">
        <v>2.56</v>
      </c>
      <c r="O20" s="648"/>
      <c r="P20" s="648"/>
      <c r="R20" s="626"/>
      <c r="T20" s="633"/>
      <c r="U20" s="634"/>
    </row>
    <row r="21" spans="1:21" ht="19.149999999999999" customHeight="1">
      <c r="B21" s="606" t="s">
        <v>480</v>
      </c>
      <c r="C21" s="655">
        <v>1</v>
      </c>
      <c r="D21" s="615">
        <v>783</v>
      </c>
      <c r="E21" s="608">
        <v>611200</v>
      </c>
      <c r="F21" s="609" t="s">
        <v>115</v>
      </c>
      <c r="G21" s="610"/>
      <c r="H21" s="610"/>
      <c r="I21" s="611" t="s">
        <v>44</v>
      </c>
      <c r="J21" s="616">
        <v>134</v>
      </c>
      <c r="K21" s="613">
        <v>129</v>
      </c>
      <c r="L21" s="616">
        <v>129</v>
      </c>
      <c r="M21" s="616">
        <v>136</v>
      </c>
      <c r="N21" s="614">
        <v>110.76735000000001</v>
      </c>
      <c r="O21" s="648"/>
      <c r="P21" s="648"/>
      <c r="R21" s="626"/>
      <c r="T21" s="633"/>
      <c r="U21" s="634"/>
    </row>
    <row r="22" spans="1:21" ht="19.149999999999999" customHeight="1">
      <c r="B22" s="606" t="s">
        <v>480</v>
      </c>
      <c r="C22" s="654">
        <v>1</v>
      </c>
      <c r="D22" s="607">
        <v>785</v>
      </c>
      <c r="E22" s="608">
        <v>611200</v>
      </c>
      <c r="F22" s="609" t="s">
        <v>1213</v>
      </c>
      <c r="G22" s="610"/>
      <c r="H22" s="610"/>
      <c r="I22" s="611" t="s">
        <v>44</v>
      </c>
      <c r="J22" s="616">
        <v>9</v>
      </c>
      <c r="K22" s="613">
        <v>10</v>
      </c>
      <c r="L22" s="616">
        <v>10</v>
      </c>
      <c r="M22" s="616">
        <v>10</v>
      </c>
      <c r="N22" s="614">
        <v>9.1223200000000002</v>
      </c>
      <c r="O22" s="648"/>
      <c r="P22" s="648"/>
      <c r="R22" s="626"/>
      <c r="T22" s="633"/>
      <c r="U22" s="634"/>
    </row>
    <row r="23" spans="1:21" ht="19.149999999999999" customHeight="1">
      <c r="B23" s="606" t="s">
        <v>480</v>
      </c>
      <c r="C23" s="655">
        <v>1</v>
      </c>
      <c r="D23" s="615">
        <v>786</v>
      </c>
      <c r="E23" s="608">
        <v>611200</v>
      </c>
      <c r="F23" s="609" t="s">
        <v>1346</v>
      </c>
      <c r="G23" s="610"/>
      <c r="H23" s="610"/>
      <c r="I23" s="611" t="s">
        <v>175</v>
      </c>
      <c r="J23" s="616">
        <v>100</v>
      </c>
      <c r="K23" s="613">
        <v>60</v>
      </c>
      <c r="L23" s="616">
        <v>94</v>
      </c>
      <c r="M23" s="616">
        <v>114</v>
      </c>
      <c r="N23" s="614">
        <v>60.241800000000005</v>
      </c>
      <c r="O23" s="648"/>
      <c r="P23" s="648"/>
      <c r="R23" s="626"/>
      <c r="T23" s="633"/>
      <c r="U23" s="634"/>
    </row>
    <row r="24" spans="1:21" ht="19.149999999999999" customHeight="1">
      <c r="B24" s="606" t="s">
        <v>480</v>
      </c>
      <c r="C24" s="654">
        <v>81</v>
      </c>
      <c r="D24" s="607">
        <v>787</v>
      </c>
      <c r="E24" s="608">
        <v>611200</v>
      </c>
      <c r="F24" s="609" t="s">
        <v>1608</v>
      </c>
      <c r="G24" s="610"/>
      <c r="H24" s="610"/>
      <c r="I24" s="611" t="s">
        <v>44</v>
      </c>
      <c r="J24" s="616">
        <v>4</v>
      </c>
      <c r="K24" s="613">
        <v>4</v>
      </c>
      <c r="L24" s="616">
        <v>4</v>
      </c>
      <c r="M24" s="616">
        <v>4</v>
      </c>
      <c r="N24" s="614">
        <v>0</v>
      </c>
      <c r="O24" s="648"/>
      <c r="P24" s="648"/>
      <c r="R24" s="626"/>
      <c r="T24" s="633"/>
      <c r="U24" s="634"/>
    </row>
    <row r="25" spans="1:21" ht="19.149999999999999" customHeight="1">
      <c r="B25" s="606" t="s">
        <v>480</v>
      </c>
      <c r="C25" s="655">
        <v>4</v>
      </c>
      <c r="D25" s="615">
        <v>788</v>
      </c>
      <c r="E25" s="608">
        <v>611200</v>
      </c>
      <c r="F25" s="609" t="s">
        <v>1347</v>
      </c>
      <c r="G25" s="610"/>
      <c r="H25" s="610"/>
      <c r="I25" s="611" t="s">
        <v>44</v>
      </c>
      <c r="J25" s="616">
        <v>120</v>
      </c>
      <c r="K25" s="613">
        <v>115</v>
      </c>
      <c r="L25" s="616">
        <v>115</v>
      </c>
      <c r="M25" s="616">
        <v>120</v>
      </c>
      <c r="N25" s="614">
        <v>79.029730000000001</v>
      </c>
      <c r="O25" s="648"/>
      <c r="P25" s="648"/>
      <c r="R25" s="626"/>
      <c r="T25" s="633"/>
      <c r="U25" s="634"/>
    </row>
    <row r="26" spans="1:21" ht="19.149999999999999" customHeight="1">
      <c r="B26" s="606" t="s">
        <v>480</v>
      </c>
      <c r="C26" s="654">
        <v>1</v>
      </c>
      <c r="D26" s="607">
        <v>780</v>
      </c>
      <c r="E26" s="608">
        <v>611201</v>
      </c>
      <c r="F26" s="609" t="s">
        <v>1647</v>
      </c>
      <c r="G26" s="610"/>
      <c r="H26" s="610"/>
      <c r="I26" s="611" t="s">
        <v>175</v>
      </c>
      <c r="J26" s="616">
        <v>100</v>
      </c>
      <c r="K26" s="613">
        <v>100</v>
      </c>
      <c r="L26" s="616">
        <v>100</v>
      </c>
      <c r="M26" s="616">
        <v>100</v>
      </c>
      <c r="N26" s="614">
        <v>0</v>
      </c>
      <c r="O26" s="648"/>
      <c r="P26" s="648"/>
      <c r="R26" s="626"/>
      <c r="T26" s="633"/>
      <c r="U26" s="634"/>
    </row>
    <row r="27" spans="1:21" ht="19.149999999999999" customHeight="1">
      <c r="B27" s="617"/>
      <c r="C27" s="656"/>
      <c r="D27" s="618"/>
      <c r="E27" s="619" t="s">
        <v>479</v>
      </c>
      <c r="F27" s="620" t="s">
        <v>1856</v>
      </c>
      <c r="G27" s="621">
        <f>SUM(G12:G26)</f>
        <v>7</v>
      </c>
      <c r="H27" s="621">
        <f>SUM(H12:H26)</f>
        <v>6.9342666666666659</v>
      </c>
      <c r="I27" s="622"/>
      <c r="J27" s="623">
        <f>SUM(J12:J26)</f>
        <v>2097</v>
      </c>
      <c r="K27" s="624">
        <f>SUM(K12:K26)</f>
        <v>1965</v>
      </c>
      <c r="L27" s="623">
        <f>SUM(L12:L26)</f>
        <v>2022</v>
      </c>
      <c r="M27" s="623">
        <f>SUM(M12:M26)</f>
        <v>2091</v>
      </c>
      <c r="N27" s="625">
        <f>SUM(N12:N26)</f>
        <v>1684.0462699999998</v>
      </c>
      <c r="O27" s="648"/>
      <c r="P27" s="648"/>
      <c r="R27" s="626"/>
      <c r="T27" s="633"/>
      <c r="U27" s="632"/>
    </row>
    <row r="28" spans="1:21" ht="19.149999999999999" customHeight="1">
      <c r="A28" s="709"/>
      <c r="B28" s="704"/>
      <c r="C28" s="684"/>
      <c r="D28" s="705"/>
      <c r="E28" s="695" t="s">
        <v>340</v>
      </c>
      <c r="F28" s="687" t="s">
        <v>341</v>
      </c>
      <c r="G28" s="706"/>
      <c r="H28" s="706"/>
      <c r="I28" s="707"/>
      <c r="J28" s="690"/>
      <c r="K28" s="693"/>
      <c r="L28" s="690"/>
      <c r="M28" s="690"/>
      <c r="N28" s="708"/>
      <c r="O28" s="648"/>
      <c r="P28" s="648"/>
      <c r="R28" s="626"/>
      <c r="T28" s="633"/>
      <c r="U28" s="632"/>
    </row>
    <row r="29" spans="1:21" ht="19.149999999999999" customHeight="1">
      <c r="B29" s="606" t="s">
        <v>341</v>
      </c>
      <c r="C29" s="655">
        <v>1</v>
      </c>
      <c r="D29" s="615">
        <v>100</v>
      </c>
      <c r="E29" s="608">
        <v>611300</v>
      </c>
      <c r="F29" s="609" t="s">
        <v>285</v>
      </c>
      <c r="G29" s="610">
        <v>25</v>
      </c>
      <c r="H29" s="610">
        <v>24.38015</v>
      </c>
      <c r="I29" s="611" t="s">
        <v>669</v>
      </c>
      <c r="J29" s="616">
        <f>6260-700</f>
        <v>5560</v>
      </c>
      <c r="K29" s="613">
        <v>5200</v>
      </c>
      <c r="L29" s="616">
        <v>5702</v>
      </c>
      <c r="M29" s="616">
        <v>5978</v>
      </c>
      <c r="N29" s="614">
        <v>4846.5619500000003</v>
      </c>
      <c r="O29" s="648"/>
      <c r="P29" s="648"/>
      <c r="R29" s="626"/>
      <c r="T29" s="633"/>
      <c r="U29" s="634"/>
    </row>
    <row r="30" spans="1:21" ht="19.149999999999999" customHeight="1">
      <c r="B30" s="606" t="s">
        <v>341</v>
      </c>
      <c r="C30" s="655">
        <v>1</v>
      </c>
      <c r="D30" s="615">
        <v>101</v>
      </c>
      <c r="E30" s="608">
        <v>611300</v>
      </c>
      <c r="F30" s="609" t="s">
        <v>1958</v>
      </c>
      <c r="G30" s="610">
        <v>1.69</v>
      </c>
      <c r="H30" s="610">
        <v>0.93278333333333352</v>
      </c>
      <c r="I30" s="611" t="s">
        <v>669</v>
      </c>
      <c r="J30" s="616">
        <v>205</v>
      </c>
      <c r="K30" s="613">
        <v>130</v>
      </c>
      <c r="L30" s="616">
        <v>151</v>
      </c>
      <c r="M30" s="616">
        <v>154</v>
      </c>
      <c r="N30" s="614">
        <v>84.31819999999999</v>
      </c>
      <c r="O30" s="648"/>
      <c r="P30" s="648"/>
      <c r="R30" s="626"/>
      <c r="T30" s="633"/>
      <c r="U30" s="634"/>
    </row>
    <row r="31" spans="1:21" ht="19.149999999999999" customHeight="1">
      <c r="B31" s="606" t="s">
        <v>341</v>
      </c>
      <c r="C31" s="655">
        <v>1</v>
      </c>
      <c r="D31" s="615">
        <v>470</v>
      </c>
      <c r="E31" s="608">
        <v>611300</v>
      </c>
      <c r="F31" s="609" t="s">
        <v>286</v>
      </c>
      <c r="G31" s="610"/>
      <c r="H31" s="610"/>
      <c r="I31" s="611" t="s">
        <v>44</v>
      </c>
      <c r="J31" s="616">
        <v>81</v>
      </c>
      <c r="K31" s="613">
        <v>78</v>
      </c>
      <c r="L31" s="616">
        <v>78</v>
      </c>
      <c r="M31" s="616">
        <v>81</v>
      </c>
      <c r="N31" s="614">
        <v>67.848160000000007</v>
      </c>
      <c r="O31" s="648"/>
      <c r="P31" s="648"/>
      <c r="R31" s="626"/>
      <c r="T31" s="633"/>
      <c r="U31" s="634"/>
    </row>
    <row r="32" spans="1:21" ht="19.149999999999999" customHeight="1">
      <c r="B32" s="606" t="s">
        <v>341</v>
      </c>
      <c r="C32" s="655">
        <v>1</v>
      </c>
      <c r="D32" s="615">
        <v>510</v>
      </c>
      <c r="E32" s="608">
        <v>611300</v>
      </c>
      <c r="F32" s="609" t="s">
        <v>1681</v>
      </c>
      <c r="G32" s="610"/>
      <c r="H32" s="610"/>
      <c r="I32" s="611" t="s">
        <v>44</v>
      </c>
      <c r="J32" s="616">
        <v>91</v>
      </c>
      <c r="K32" s="613">
        <v>70</v>
      </c>
      <c r="L32" s="616">
        <v>93</v>
      </c>
      <c r="M32" s="616">
        <v>100</v>
      </c>
      <c r="N32" s="614">
        <v>69.965339999999998</v>
      </c>
      <c r="O32" s="648"/>
      <c r="P32" s="648"/>
      <c r="R32" s="626"/>
      <c r="T32" s="633"/>
      <c r="U32" s="634"/>
    </row>
    <row r="33" spans="2:21" ht="19.149999999999999" customHeight="1">
      <c r="B33" s="606" t="s">
        <v>341</v>
      </c>
      <c r="C33" s="655">
        <v>1</v>
      </c>
      <c r="D33" s="615">
        <v>511</v>
      </c>
      <c r="E33" s="608">
        <v>611300</v>
      </c>
      <c r="F33" s="609" t="s">
        <v>1682</v>
      </c>
      <c r="G33" s="610"/>
      <c r="H33" s="610"/>
      <c r="I33" s="611" t="s">
        <v>44</v>
      </c>
      <c r="J33" s="616">
        <v>35</v>
      </c>
      <c r="K33" s="613">
        <v>35</v>
      </c>
      <c r="L33" s="616">
        <v>35</v>
      </c>
      <c r="M33" s="616">
        <v>37</v>
      </c>
      <c r="N33" s="614">
        <v>31.66555</v>
      </c>
      <c r="O33" s="648"/>
      <c r="P33" s="648"/>
      <c r="R33" s="626"/>
      <c r="T33" s="633"/>
      <c r="U33" s="634"/>
    </row>
    <row r="34" spans="2:21" ht="19.149999999999999" customHeight="1">
      <c r="B34" s="606" t="s">
        <v>341</v>
      </c>
      <c r="C34" s="654">
        <v>12</v>
      </c>
      <c r="D34" s="607">
        <v>522</v>
      </c>
      <c r="E34" s="608">
        <v>611300</v>
      </c>
      <c r="F34" s="609" t="s">
        <v>606</v>
      </c>
      <c r="G34" s="610"/>
      <c r="H34" s="610"/>
      <c r="I34" s="611" t="s">
        <v>44</v>
      </c>
      <c r="J34" s="616">
        <v>76</v>
      </c>
      <c r="K34" s="613">
        <v>76</v>
      </c>
      <c r="L34" s="616">
        <v>76</v>
      </c>
      <c r="M34" s="616">
        <v>76</v>
      </c>
      <c r="N34" s="614">
        <v>58.888379999999998</v>
      </c>
      <c r="O34" s="648"/>
      <c r="P34" s="648"/>
      <c r="R34" s="626"/>
      <c r="T34" s="633"/>
      <c r="U34" s="634"/>
    </row>
    <row r="35" spans="2:21" ht="19.149999999999999" customHeight="1">
      <c r="B35" s="606" t="s">
        <v>341</v>
      </c>
      <c r="C35" s="654">
        <v>10</v>
      </c>
      <c r="D35" s="607">
        <v>540</v>
      </c>
      <c r="E35" s="608">
        <v>611300</v>
      </c>
      <c r="F35" s="609" t="s">
        <v>1648</v>
      </c>
      <c r="G35" s="610"/>
      <c r="H35" s="610"/>
      <c r="I35" s="611" t="s">
        <v>175</v>
      </c>
      <c r="J35" s="616">
        <v>35</v>
      </c>
      <c r="K35" s="613">
        <v>35</v>
      </c>
      <c r="L35" s="616">
        <v>35</v>
      </c>
      <c r="M35" s="616">
        <v>35</v>
      </c>
      <c r="N35" s="614">
        <v>59.745110000000004</v>
      </c>
      <c r="O35" s="648"/>
      <c r="P35" s="648"/>
      <c r="R35" s="626"/>
      <c r="T35" s="633"/>
      <c r="U35" s="634"/>
    </row>
    <row r="36" spans="2:21" ht="19.149999999999999" customHeight="1">
      <c r="B36" s="606" t="s">
        <v>341</v>
      </c>
      <c r="C36" s="654">
        <v>12</v>
      </c>
      <c r="D36" s="607">
        <v>550</v>
      </c>
      <c r="E36" s="608">
        <v>611300</v>
      </c>
      <c r="F36" s="609" t="s">
        <v>607</v>
      </c>
      <c r="G36" s="610"/>
      <c r="H36" s="610"/>
      <c r="I36" s="611" t="s">
        <v>44</v>
      </c>
      <c r="J36" s="616">
        <v>187</v>
      </c>
      <c r="K36" s="613">
        <v>187</v>
      </c>
      <c r="L36" s="616">
        <v>187</v>
      </c>
      <c r="M36" s="616">
        <v>187</v>
      </c>
      <c r="N36" s="614">
        <v>188.62344000000002</v>
      </c>
      <c r="O36" s="648"/>
      <c r="P36" s="648"/>
      <c r="R36" s="626"/>
      <c r="T36" s="633"/>
      <c r="U36" s="634"/>
    </row>
    <row r="37" spans="2:21" ht="19.149999999999999" customHeight="1">
      <c r="B37" s="606" t="s">
        <v>341</v>
      </c>
      <c r="C37" s="654">
        <v>1</v>
      </c>
      <c r="D37" s="607">
        <v>560</v>
      </c>
      <c r="E37" s="608">
        <v>611300</v>
      </c>
      <c r="F37" s="609" t="s">
        <v>239</v>
      </c>
      <c r="G37" s="610"/>
      <c r="H37" s="610"/>
      <c r="I37" s="611" t="s">
        <v>44</v>
      </c>
      <c r="J37" s="616">
        <v>36</v>
      </c>
      <c r="K37" s="613">
        <v>38</v>
      </c>
      <c r="L37" s="616">
        <v>38</v>
      </c>
      <c r="M37" s="616">
        <v>38</v>
      </c>
      <c r="N37" s="614">
        <v>32.248110000000004</v>
      </c>
      <c r="O37" s="648"/>
      <c r="P37" s="648"/>
      <c r="R37" s="626"/>
      <c r="T37" s="633"/>
      <c r="U37" s="634"/>
    </row>
    <row r="38" spans="2:21" ht="19.149999999999999" customHeight="1">
      <c r="B38" s="606" t="s">
        <v>341</v>
      </c>
      <c r="C38" s="654">
        <v>10</v>
      </c>
      <c r="D38" s="607">
        <v>570</v>
      </c>
      <c r="E38" s="608">
        <v>611300</v>
      </c>
      <c r="F38" s="710" t="s">
        <v>608</v>
      </c>
      <c r="G38" s="610"/>
      <c r="H38" s="610"/>
      <c r="I38" s="611" t="s">
        <v>175</v>
      </c>
      <c r="J38" s="616">
        <v>74</v>
      </c>
      <c r="K38" s="613">
        <v>64</v>
      </c>
      <c r="L38" s="616">
        <v>74</v>
      </c>
      <c r="M38" s="616">
        <v>74</v>
      </c>
      <c r="N38" s="614">
        <v>22.342400000000001</v>
      </c>
      <c r="O38" s="648"/>
      <c r="P38" s="648"/>
      <c r="R38" s="626"/>
      <c r="T38" s="633"/>
      <c r="U38" s="634"/>
    </row>
    <row r="39" spans="2:21" ht="19.149999999999999" customHeight="1">
      <c r="B39" s="606" t="s">
        <v>341</v>
      </c>
      <c r="C39" s="654">
        <v>5</v>
      </c>
      <c r="D39" s="607">
        <v>730</v>
      </c>
      <c r="E39" s="608">
        <v>611300</v>
      </c>
      <c r="F39" s="609" t="s">
        <v>1408</v>
      </c>
      <c r="G39" s="610"/>
      <c r="H39" s="610"/>
      <c r="I39" s="611" t="s">
        <v>175</v>
      </c>
      <c r="J39" s="616">
        <v>40</v>
      </c>
      <c r="K39" s="613">
        <v>40</v>
      </c>
      <c r="L39" s="616">
        <v>40</v>
      </c>
      <c r="M39" s="616">
        <v>40</v>
      </c>
      <c r="N39" s="614">
        <v>23.29909</v>
      </c>
      <c r="O39" s="648"/>
      <c r="P39" s="648"/>
      <c r="R39" s="626"/>
      <c r="T39" s="633"/>
      <c r="U39" s="634"/>
    </row>
    <row r="40" spans="2:21" ht="19.149999999999999" customHeight="1">
      <c r="B40" s="606" t="s">
        <v>341</v>
      </c>
      <c r="C40" s="654">
        <v>5</v>
      </c>
      <c r="D40" s="607">
        <v>742</v>
      </c>
      <c r="E40" s="608">
        <v>611300</v>
      </c>
      <c r="F40" s="710" t="s">
        <v>609</v>
      </c>
      <c r="G40" s="610"/>
      <c r="H40" s="610"/>
      <c r="I40" s="611" t="s">
        <v>175</v>
      </c>
      <c r="J40" s="616">
        <v>3</v>
      </c>
      <c r="K40" s="613">
        <v>3</v>
      </c>
      <c r="L40" s="616">
        <v>3</v>
      </c>
      <c r="M40" s="616">
        <v>3</v>
      </c>
      <c r="N40" s="614">
        <v>0.42663999999999996</v>
      </c>
      <c r="O40" s="648"/>
      <c r="P40" s="648"/>
      <c r="R40" s="626"/>
      <c r="T40" s="633"/>
      <c r="U40" s="634"/>
    </row>
    <row r="41" spans="2:21" ht="19.149999999999999" customHeight="1">
      <c r="B41" s="606" t="s">
        <v>341</v>
      </c>
      <c r="C41" s="654">
        <v>9</v>
      </c>
      <c r="D41" s="607">
        <v>750</v>
      </c>
      <c r="E41" s="608">
        <v>611300</v>
      </c>
      <c r="F41" s="710" t="s">
        <v>1335</v>
      </c>
      <c r="G41" s="610"/>
      <c r="H41" s="610"/>
      <c r="I41" s="611" t="s">
        <v>175</v>
      </c>
      <c r="J41" s="616">
        <v>1100</v>
      </c>
      <c r="K41" s="613">
        <v>1070</v>
      </c>
      <c r="L41" s="616">
        <v>1190</v>
      </c>
      <c r="M41" s="616">
        <v>1190</v>
      </c>
      <c r="N41" s="614">
        <v>1153.0060000000001</v>
      </c>
      <c r="O41" s="648"/>
      <c r="P41" s="648"/>
      <c r="R41" s="626"/>
      <c r="T41" s="633"/>
      <c r="U41" s="634"/>
    </row>
    <row r="42" spans="2:21" ht="19.149999999999999" customHeight="1">
      <c r="B42" s="606" t="s">
        <v>341</v>
      </c>
      <c r="C42" s="654">
        <v>5</v>
      </c>
      <c r="D42" s="607">
        <v>751</v>
      </c>
      <c r="E42" s="608">
        <v>611300</v>
      </c>
      <c r="F42" s="710" t="s">
        <v>605</v>
      </c>
      <c r="G42" s="610"/>
      <c r="H42" s="610"/>
      <c r="I42" s="611" t="s">
        <v>175</v>
      </c>
      <c r="J42" s="616">
        <v>150</v>
      </c>
      <c r="K42" s="613">
        <v>150</v>
      </c>
      <c r="L42" s="616">
        <v>150</v>
      </c>
      <c r="M42" s="616">
        <v>150</v>
      </c>
      <c r="N42" s="614">
        <v>7.1982600000000003</v>
      </c>
      <c r="O42" s="648"/>
      <c r="P42" s="648"/>
      <c r="R42" s="626"/>
      <c r="T42" s="633"/>
      <c r="U42" s="634"/>
    </row>
    <row r="43" spans="2:21" ht="19.149999999999999" customHeight="1">
      <c r="B43" s="606" t="s">
        <v>341</v>
      </c>
      <c r="C43" s="655">
        <v>1</v>
      </c>
      <c r="D43" s="615">
        <v>752</v>
      </c>
      <c r="E43" s="608">
        <v>611300</v>
      </c>
      <c r="F43" s="710" t="s">
        <v>1334</v>
      </c>
      <c r="G43" s="610"/>
      <c r="H43" s="610"/>
      <c r="I43" s="611" t="s">
        <v>44</v>
      </c>
      <c r="J43" s="616">
        <v>136</v>
      </c>
      <c r="K43" s="613">
        <v>125</v>
      </c>
      <c r="L43" s="616">
        <v>126</v>
      </c>
      <c r="M43" s="616">
        <v>131</v>
      </c>
      <c r="N43" s="614">
        <v>65.729500000000002</v>
      </c>
      <c r="O43" s="648"/>
      <c r="P43" s="648"/>
      <c r="R43" s="626"/>
      <c r="T43" s="633"/>
      <c r="U43" s="634"/>
    </row>
    <row r="44" spans="2:21" ht="19.149999999999999" customHeight="1">
      <c r="B44" s="606" t="s">
        <v>341</v>
      </c>
      <c r="C44" s="655">
        <v>1</v>
      </c>
      <c r="D44" s="615">
        <v>755</v>
      </c>
      <c r="E44" s="608">
        <v>611300</v>
      </c>
      <c r="F44" s="710" t="s">
        <v>616</v>
      </c>
      <c r="G44" s="610"/>
      <c r="H44" s="610"/>
      <c r="I44" s="611" t="s">
        <v>44</v>
      </c>
      <c r="J44" s="616">
        <f>30+130</f>
        <v>160</v>
      </c>
      <c r="K44" s="613">
        <v>97</v>
      </c>
      <c r="L44" s="616">
        <v>97</v>
      </c>
      <c r="M44" s="616">
        <v>100</v>
      </c>
      <c r="N44" s="614">
        <v>68.614999999999995</v>
      </c>
      <c r="O44" s="648"/>
      <c r="P44" s="648"/>
      <c r="R44" s="626"/>
      <c r="T44" s="633"/>
      <c r="U44" s="634"/>
    </row>
    <row r="45" spans="2:21" ht="19.149999999999999" customHeight="1">
      <c r="B45" s="606" t="s">
        <v>341</v>
      </c>
      <c r="C45" s="655">
        <v>1</v>
      </c>
      <c r="D45" s="615">
        <v>780</v>
      </c>
      <c r="E45" s="608">
        <v>611300</v>
      </c>
      <c r="F45" s="710" t="s">
        <v>610</v>
      </c>
      <c r="G45" s="610"/>
      <c r="H45" s="610"/>
      <c r="I45" s="611" t="s">
        <v>44</v>
      </c>
      <c r="J45" s="616">
        <v>83</v>
      </c>
      <c r="K45" s="613">
        <v>83</v>
      </c>
      <c r="L45" s="616">
        <v>83</v>
      </c>
      <c r="M45" s="616">
        <v>85</v>
      </c>
      <c r="N45" s="614">
        <v>27.708839999999999</v>
      </c>
      <c r="O45" s="648"/>
      <c r="P45" s="648"/>
      <c r="R45" s="626"/>
      <c r="T45" s="633"/>
      <c r="U45" s="634"/>
    </row>
    <row r="46" spans="2:21" ht="19.149999999999999" customHeight="1">
      <c r="B46" s="606" t="s">
        <v>341</v>
      </c>
      <c r="C46" s="654">
        <v>1</v>
      </c>
      <c r="D46" s="607">
        <v>930</v>
      </c>
      <c r="E46" s="608">
        <v>611300</v>
      </c>
      <c r="F46" s="710" t="s">
        <v>611</v>
      </c>
      <c r="G46" s="610"/>
      <c r="H46" s="610"/>
      <c r="I46" s="611" t="s">
        <v>44</v>
      </c>
      <c r="J46" s="616">
        <v>5</v>
      </c>
      <c r="K46" s="613">
        <v>5</v>
      </c>
      <c r="L46" s="616">
        <v>5</v>
      </c>
      <c r="M46" s="616">
        <v>5</v>
      </c>
      <c r="N46" s="614">
        <v>3.8811999999999998</v>
      </c>
      <c r="O46" s="648"/>
      <c r="P46" s="648"/>
      <c r="R46" s="626"/>
      <c r="T46" s="633"/>
      <c r="U46" s="634"/>
    </row>
    <row r="47" spans="2:21" ht="19.149999999999999" customHeight="1">
      <c r="B47" s="617"/>
      <c r="C47" s="656"/>
      <c r="D47" s="618"/>
      <c r="E47" s="619" t="s">
        <v>340</v>
      </c>
      <c r="F47" s="620" t="s">
        <v>176</v>
      </c>
      <c r="G47" s="621">
        <f>SUM(G29:G46)</f>
        <v>26.69</v>
      </c>
      <c r="H47" s="621">
        <f>SUM(H29:H46)</f>
        <v>25.312933333333334</v>
      </c>
      <c r="I47" s="622"/>
      <c r="J47" s="623">
        <f>SUM(J29:J46)</f>
        <v>8057</v>
      </c>
      <c r="K47" s="624">
        <f>SUM(K29:K46)</f>
        <v>7486</v>
      </c>
      <c r="L47" s="623">
        <f>SUM(L29:L46)</f>
        <v>8163</v>
      </c>
      <c r="M47" s="623">
        <f>SUM(M29:M46)</f>
        <v>8464</v>
      </c>
      <c r="N47" s="625">
        <f>SUM(N29:N46)</f>
        <v>6812.071170000002</v>
      </c>
      <c r="O47" s="648"/>
      <c r="P47" s="648"/>
      <c r="R47" s="626"/>
      <c r="T47" s="633"/>
      <c r="U47" s="632"/>
    </row>
    <row r="48" spans="2:21" ht="19.149999999999999" customHeight="1">
      <c r="B48" s="704"/>
      <c r="C48" s="684"/>
      <c r="D48" s="705"/>
      <c r="E48" s="695" t="s">
        <v>177</v>
      </c>
      <c r="F48" s="687" t="s">
        <v>178</v>
      </c>
      <c r="G48" s="706"/>
      <c r="H48" s="706"/>
      <c r="I48" s="707"/>
      <c r="J48" s="690"/>
      <c r="K48" s="693"/>
      <c r="L48" s="690"/>
      <c r="M48" s="690"/>
      <c r="N48" s="708"/>
      <c r="O48" s="648"/>
      <c r="P48" s="648"/>
      <c r="R48" s="626"/>
      <c r="T48" s="633"/>
      <c r="U48" s="632"/>
    </row>
    <row r="49" spans="2:21" ht="19.149999999999999" customHeight="1">
      <c r="B49" s="606" t="s">
        <v>178</v>
      </c>
      <c r="C49" s="654">
        <v>1</v>
      </c>
      <c r="D49" s="607">
        <v>100</v>
      </c>
      <c r="E49" s="608">
        <v>612000</v>
      </c>
      <c r="F49" s="609" t="s">
        <v>1058</v>
      </c>
      <c r="G49" s="610">
        <v>5</v>
      </c>
      <c r="H49" s="610">
        <v>3</v>
      </c>
      <c r="I49" s="611" t="s">
        <v>669</v>
      </c>
      <c r="J49" s="616">
        <v>1300</v>
      </c>
      <c r="K49" s="613">
        <v>940</v>
      </c>
      <c r="L49" s="616">
        <v>1225</v>
      </c>
      <c r="M49" s="616">
        <v>1225</v>
      </c>
      <c r="N49" s="614">
        <v>922.69768999999997</v>
      </c>
      <c r="O49" s="648"/>
      <c r="P49" s="648"/>
      <c r="R49" s="626"/>
      <c r="T49" s="633"/>
      <c r="U49" s="634"/>
    </row>
    <row r="50" spans="2:21" ht="19.149999999999999" customHeight="1">
      <c r="B50" s="606" t="s">
        <v>178</v>
      </c>
      <c r="C50" s="654">
        <v>1</v>
      </c>
      <c r="D50" s="607">
        <v>522</v>
      </c>
      <c r="E50" s="608">
        <v>612000</v>
      </c>
      <c r="F50" s="609" t="s">
        <v>344</v>
      </c>
      <c r="G50" s="610"/>
      <c r="H50" s="610"/>
      <c r="I50" s="611" t="s">
        <v>44</v>
      </c>
      <c r="J50" s="616">
        <v>5</v>
      </c>
      <c r="K50" s="613">
        <v>5</v>
      </c>
      <c r="L50" s="616">
        <v>5</v>
      </c>
      <c r="M50" s="616">
        <v>5</v>
      </c>
      <c r="N50" s="614">
        <v>0</v>
      </c>
      <c r="O50" s="648"/>
      <c r="P50" s="648"/>
      <c r="R50" s="626"/>
      <c r="T50" s="633"/>
      <c r="U50" s="634"/>
    </row>
    <row r="51" spans="2:21" ht="19.149999999999999" customHeight="1">
      <c r="B51" s="606" t="s">
        <v>178</v>
      </c>
      <c r="C51" s="654">
        <v>10</v>
      </c>
      <c r="D51" s="607">
        <v>540</v>
      </c>
      <c r="E51" s="608">
        <v>612000</v>
      </c>
      <c r="F51" s="609" t="s">
        <v>1648</v>
      </c>
      <c r="G51" s="610"/>
      <c r="H51" s="610"/>
      <c r="I51" s="611" t="s">
        <v>175</v>
      </c>
      <c r="J51" s="616">
        <v>2</v>
      </c>
      <c r="K51" s="613">
        <v>2</v>
      </c>
      <c r="L51" s="616">
        <v>3</v>
      </c>
      <c r="M51" s="616">
        <v>3</v>
      </c>
      <c r="N51" s="614">
        <v>1.53854</v>
      </c>
      <c r="O51" s="648"/>
      <c r="P51" s="648"/>
      <c r="R51" s="626"/>
      <c r="T51" s="633"/>
      <c r="U51" s="634"/>
    </row>
    <row r="52" spans="2:21" ht="19.149999999999999" customHeight="1">
      <c r="B52" s="606" t="s">
        <v>178</v>
      </c>
      <c r="C52" s="654">
        <v>1</v>
      </c>
      <c r="D52" s="607">
        <v>780</v>
      </c>
      <c r="E52" s="608">
        <v>612000</v>
      </c>
      <c r="F52" s="609" t="s">
        <v>19</v>
      </c>
      <c r="G52" s="610"/>
      <c r="H52" s="610"/>
      <c r="I52" s="611" t="s">
        <v>44</v>
      </c>
      <c r="J52" s="616">
        <v>270</v>
      </c>
      <c r="K52" s="613">
        <v>270</v>
      </c>
      <c r="L52" s="616">
        <v>270</v>
      </c>
      <c r="M52" s="616">
        <v>270</v>
      </c>
      <c r="N52" s="614">
        <v>112.9199</v>
      </c>
      <c r="O52" s="648"/>
      <c r="P52" s="648"/>
      <c r="R52" s="626"/>
      <c r="T52" s="633"/>
      <c r="U52" s="634"/>
    </row>
    <row r="53" spans="2:21" ht="19.149999999999999" customHeight="1">
      <c r="B53" s="606" t="s">
        <v>178</v>
      </c>
      <c r="C53" s="654">
        <v>1</v>
      </c>
      <c r="D53" s="607">
        <v>930</v>
      </c>
      <c r="E53" s="608">
        <v>612000</v>
      </c>
      <c r="F53" s="609" t="s">
        <v>611</v>
      </c>
      <c r="G53" s="610"/>
      <c r="H53" s="610"/>
      <c r="I53" s="611" t="s">
        <v>44</v>
      </c>
      <c r="J53" s="616">
        <v>6</v>
      </c>
      <c r="K53" s="613">
        <v>6</v>
      </c>
      <c r="L53" s="616">
        <v>6</v>
      </c>
      <c r="M53" s="616">
        <v>6</v>
      </c>
      <c r="N53" s="614">
        <v>0</v>
      </c>
      <c r="O53" s="648"/>
      <c r="P53" s="648"/>
      <c r="R53" s="626"/>
      <c r="T53" s="633"/>
      <c r="U53" s="634"/>
    </row>
    <row r="54" spans="2:21" ht="19.149999999999999" customHeight="1">
      <c r="B54" s="617"/>
      <c r="C54" s="656"/>
      <c r="D54" s="618"/>
      <c r="E54" s="619" t="s">
        <v>177</v>
      </c>
      <c r="F54" s="620" t="s">
        <v>934</v>
      </c>
      <c r="G54" s="621">
        <f>SUM(G49:G53)</f>
        <v>5</v>
      </c>
      <c r="H54" s="621">
        <f>SUM(H49:H53)</f>
        <v>3</v>
      </c>
      <c r="I54" s="622"/>
      <c r="J54" s="623">
        <f>SUM(J49:J53)</f>
        <v>1583</v>
      </c>
      <c r="K54" s="624">
        <f>SUM(K49:K53)</f>
        <v>1223</v>
      </c>
      <c r="L54" s="623">
        <f>SUM(L49:L53)</f>
        <v>1509</v>
      </c>
      <c r="M54" s="623">
        <f>SUM(M49:M53)</f>
        <v>1509</v>
      </c>
      <c r="N54" s="625">
        <f>SUM(N49:N53)</f>
        <v>1037.1561300000001</v>
      </c>
      <c r="O54" s="648"/>
      <c r="P54" s="648"/>
      <c r="R54" s="626"/>
      <c r="T54" s="633"/>
      <c r="U54" s="632"/>
    </row>
    <row r="55" spans="2:21" ht="19.149999999999999" customHeight="1">
      <c r="B55" s="704"/>
      <c r="C55" s="684"/>
      <c r="D55" s="705"/>
      <c r="E55" s="695" t="s">
        <v>935</v>
      </c>
      <c r="F55" s="687" t="s">
        <v>150</v>
      </c>
      <c r="G55" s="706"/>
      <c r="H55" s="706"/>
      <c r="I55" s="707"/>
      <c r="J55" s="690"/>
      <c r="K55" s="693"/>
      <c r="L55" s="690"/>
      <c r="M55" s="690"/>
      <c r="N55" s="708"/>
      <c r="O55" s="648"/>
      <c r="P55" s="648"/>
      <c r="R55" s="626"/>
      <c r="T55" s="633"/>
      <c r="U55" s="632"/>
    </row>
    <row r="56" spans="2:21" ht="19.149999999999999" customHeight="1">
      <c r="B56" s="606" t="s">
        <v>150</v>
      </c>
      <c r="C56" s="655">
        <v>1</v>
      </c>
      <c r="D56" s="615">
        <v>100</v>
      </c>
      <c r="E56" s="608">
        <v>612100</v>
      </c>
      <c r="F56" s="609" t="s">
        <v>1058</v>
      </c>
      <c r="G56" s="610">
        <v>4</v>
      </c>
      <c r="H56" s="610">
        <v>3.2685999999999997</v>
      </c>
      <c r="I56" s="611" t="s">
        <v>669</v>
      </c>
      <c r="J56" s="616">
        <v>930</v>
      </c>
      <c r="K56" s="613">
        <v>793</v>
      </c>
      <c r="L56" s="616">
        <v>793</v>
      </c>
      <c r="M56" s="616">
        <v>767</v>
      </c>
      <c r="N56" s="614">
        <v>595.87333999999998</v>
      </c>
      <c r="O56" s="648"/>
      <c r="P56" s="648"/>
      <c r="R56" s="626"/>
      <c r="T56" s="633"/>
      <c r="U56" s="634"/>
    </row>
    <row r="57" spans="2:21" ht="19.149999999999999" customHeight="1">
      <c r="B57" s="606" t="s">
        <v>150</v>
      </c>
      <c r="C57" s="654">
        <v>10</v>
      </c>
      <c r="D57" s="607">
        <v>540</v>
      </c>
      <c r="E57" s="608">
        <v>612100</v>
      </c>
      <c r="F57" s="609" t="s">
        <v>1648</v>
      </c>
      <c r="G57" s="610"/>
      <c r="H57" s="610"/>
      <c r="I57" s="611" t="s">
        <v>175</v>
      </c>
      <c r="J57" s="616">
        <v>2</v>
      </c>
      <c r="K57" s="613">
        <v>1</v>
      </c>
      <c r="L57" s="616">
        <v>2</v>
      </c>
      <c r="M57" s="616">
        <v>2</v>
      </c>
      <c r="N57" s="614">
        <v>1.2868299999999999</v>
      </c>
      <c r="O57" s="648"/>
      <c r="P57" s="648"/>
      <c r="R57" s="626"/>
      <c r="T57" s="633"/>
      <c r="U57" s="634"/>
    </row>
    <row r="58" spans="2:21" ht="19.149999999999999" customHeight="1">
      <c r="B58" s="606" t="s">
        <v>150</v>
      </c>
      <c r="C58" s="655">
        <v>1</v>
      </c>
      <c r="D58" s="615">
        <v>560</v>
      </c>
      <c r="E58" s="608">
        <v>612100</v>
      </c>
      <c r="F58" s="609" t="s">
        <v>141</v>
      </c>
      <c r="G58" s="610"/>
      <c r="H58" s="610"/>
      <c r="I58" s="611" t="s">
        <v>44</v>
      </c>
      <c r="J58" s="616">
        <v>39</v>
      </c>
      <c r="K58" s="613">
        <v>39</v>
      </c>
      <c r="L58" s="616">
        <v>39</v>
      </c>
      <c r="M58" s="616">
        <v>41</v>
      </c>
      <c r="N58" s="614">
        <v>28.891939999999998</v>
      </c>
      <c r="O58" s="648"/>
      <c r="P58" s="648"/>
      <c r="R58" s="626"/>
      <c r="T58" s="633"/>
      <c r="U58" s="634"/>
    </row>
    <row r="59" spans="2:21" ht="19.149999999999999" customHeight="1">
      <c r="B59" s="606" t="s">
        <v>150</v>
      </c>
      <c r="C59" s="655">
        <v>10</v>
      </c>
      <c r="D59" s="615">
        <v>570</v>
      </c>
      <c r="E59" s="608">
        <v>612100</v>
      </c>
      <c r="F59" s="609" t="s">
        <v>608</v>
      </c>
      <c r="G59" s="610"/>
      <c r="H59" s="610"/>
      <c r="I59" s="611" t="s">
        <v>175</v>
      </c>
      <c r="J59" s="616">
        <v>28</v>
      </c>
      <c r="K59" s="613">
        <v>28</v>
      </c>
      <c r="L59" s="616">
        <v>28</v>
      </c>
      <c r="M59" s="616">
        <v>23</v>
      </c>
      <c r="N59" s="614">
        <v>16.847999999999999</v>
      </c>
      <c r="O59" s="648"/>
      <c r="P59" s="648"/>
      <c r="R59" s="626"/>
      <c r="T59" s="633"/>
      <c r="U59" s="634"/>
    </row>
    <row r="60" spans="2:21" ht="19.149999999999999" customHeight="1">
      <c r="B60" s="617"/>
      <c r="C60" s="656"/>
      <c r="D60" s="618"/>
      <c r="E60" s="619" t="s">
        <v>935</v>
      </c>
      <c r="F60" s="620" t="s">
        <v>772</v>
      </c>
      <c r="G60" s="621">
        <f>SUM(G56:G59)</f>
        <v>4</v>
      </c>
      <c r="H60" s="621">
        <f>SUM(H56:H59)</f>
        <v>3.2685999999999997</v>
      </c>
      <c r="I60" s="622"/>
      <c r="J60" s="623">
        <f>SUM(J56:J59)</f>
        <v>999</v>
      </c>
      <c r="K60" s="624">
        <f>SUM(K56:K59)</f>
        <v>861</v>
      </c>
      <c r="L60" s="623">
        <f>SUM(L56:L59)</f>
        <v>862</v>
      </c>
      <c r="M60" s="623">
        <f>SUM(M56:M59)</f>
        <v>833</v>
      </c>
      <c r="N60" s="625">
        <f>SUM(N56:N59)</f>
        <v>642.90010999999993</v>
      </c>
      <c r="O60" s="648"/>
      <c r="P60" s="648"/>
      <c r="R60" s="626"/>
      <c r="T60" s="633"/>
      <c r="U60" s="632"/>
    </row>
    <row r="61" spans="2:21" ht="19.149999999999999" customHeight="1">
      <c r="B61" s="704"/>
      <c r="C61" s="684"/>
      <c r="D61" s="705"/>
      <c r="E61" s="695" t="s">
        <v>708</v>
      </c>
      <c r="F61" s="687" t="s">
        <v>1831</v>
      </c>
      <c r="G61" s="706"/>
      <c r="H61" s="706"/>
      <c r="I61" s="707"/>
      <c r="J61" s="690"/>
      <c r="K61" s="693"/>
      <c r="L61" s="690"/>
      <c r="M61" s="690"/>
      <c r="N61" s="708"/>
      <c r="O61" s="648"/>
      <c r="P61" s="648"/>
      <c r="R61" s="626"/>
      <c r="T61" s="633"/>
      <c r="U61" s="632"/>
    </row>
    <row r="62" spans="2:21" ht="19.149999999999999" customHeight="1">
      <c r="B62" s="606" t="s">
        <v>2238</v>
      </c>
      <c r="C62" s="655">
        <v>1</v>
      </c>
      <c r="D62" s="615">
        <v>100</v>
      </c>
      <c r="E62" s="608">
        <v>613000</v>
      </c>
      <c r="F62" s="609" t="s">
        <v>1058</v>
      </c>
      <c r="G62" s="610">
        <v>9.42</v>
      </c>
      <c r="H62" s="610">
        <v>8.4234999999999989</v>
      </c>
      <c r="I62" s="611" t="s">
        <v>669</v>
      </c>
      <c r="J62" s="616">
        <f>2725-570-50-140</f>
        <v>1965</v>
      </c>
      <c r="K62" s="613">
        <v>1710</v>
      </c>
      <c r="L62" s="616">
        <v>1823</v>
      </c>
      <c r="M62" s="616">
        <v>2112</v>
      </c>
      <c r="N62" s="614">
        <v>1531.13237</v>
      </c>
      <c r="O62" s="648"/>
      <c r="P62" s="648"/>
      <c r="R62" s="626"/>
      <c r="T62" s="633"/>
      <c r="U62" s="634"/>
    </row>
    <row r="63" spans="2:21" ht="19.149999999999999" customHeight="1">
      <c r="B63" s="606" t="s">
        <v>1831</v>
      </c>
      <c r="C63" s="655">
        <v>1</v>
      </c>
      <c r="D63" s="615">
        <v>522</v>
      </c>
      <c r="E63" s="608">
        <v>613000</v>
      </c>
      <c r="F63" s="701" t="s">
        <v>174</v>
      </c>
      <c r="G63" s="610"/>
      <c r="H63" s="610"/>
      <c r="I63" s="611" t="s">
        <v>44</v>
      </c>
      <c r="J63" s="616">
        <v>4</v>
      </c>
      <c r="K63" s="613">
        <v>0</v>
      </c>
      <c r="L63" s="616">
        <v>0</v>
      </c>
      <c r="M63" s="616">
        <v>4</v>
      </c>
      <c r="N63" s="614">
        <v>2.9540000000000002</v>
      </c>
      <c r="O63" s="648"/>
      <c r="P63" s="648"/>
      <c r="R63" s="626"/>
      <c r="T63" s="633"/>
      <c r="U63" s="634"/>
    </row>
    <row r="64" spans="2:21" ht="19.149999999999999" customHeight="1">
      <c r="B64" s="606" t="s">
        <v>1831</v>
      </c>
      <c r="C64" s="654">
        <v>10</v>
      </c>
      <c r="D64" s="607">
        <v>540</v>
      </c>
      <c r="E64" s="608">
        <v>613000</v>
      </c>
      <c r="F64" s="609" t="s">
        <v>1648</v>
      </c>
      <c r="G64" s="610"/>
      <c r="H64" s="610"/>
      <c r="I64" s="611" t="s">
        <v>175</v>
      </c>
      <c r="J64" s="616">
        <v>4</v>
      </c>
      <c r="K64" s="613">
        <v>4</v>
      </c>
      <c r="L64" s="616">
        <v>5</v>
      </c>
      <c r="M64" s="616">
        <v>5</v>
      </c>
      <c r="N64" s="614">
        <v>3.4226300000000003</v>
      </c>
      <c r="O64" s="648"/>
      <c r="P64" s="648"/>
      <c r="R64" s="626"/>
      <c r="T64" s="633"/>
      <c r="U64" s="634"/>
    </row>
    <row r="65" spans="2:21" ht="19.149999999999999" customHeight="1">
      <c r="B65" s="606" t="s">
        <v>1831</v>
      </c>
      <c r="C65" s="654">
        <v>1</v>
      </c>
      <c r="D65" s="607">
        <v>560</v>
      </c>
      <c r="E65" s="608">
        <v>613000</v>
      </c>
      <c r="F65" s="609" t="s">
        <v>566</v>
      </c>
      <c r="G65" s="610"/>
      <c r="H65" s="610"/>
      <c r="I65" s="611" t="s">
        <v>44</v>
      </c>
      <c r="J65" s="616">
        <v>9</v>
      </c>
      <c r="K65" s="613">
        <v>10</v>
      </c>
      <c r="L65" s="616">
        <v>10</v>
      </c>
      <c r="M65" s="616">
        <v>10</v>
      </c>
      <c r="N65" s="614">
        <v>8.7990100000000009</v>
      </c>
      <c r="O65" s="648"/>
      <c r="P65" s="648"/>
      <c r="R65" s="626"/>
      <c r="T65" s="633"/>
      <c r="U65" s="634"/>
    </row>
    <row r="66" spans="2:21" ht="19.149999999999999" customHeight="1">
      <c r="B66" s="606" t="s">
        <v>1831</v>
      </c>
      <c r="C66" s="655">
        <v>1</v>
      </c>
      <c r="D66" s="615">
        <v>562</v>
      </c>
      <c r="E66" s="608">
        <v>613000</v>
      </c>
      <c r="F66" s="609" t="s">
        <v>1680</v>
      </c>
      <c r="G66" s="610"/>
      <c r="H66" s="610"/>
      <c r="I66" s="611" t="s">
        <v>44</v>
      </c>
      <c r="J66" s="616">
        <v>45</v>
      </c>
      <c r="K66" s="613">
        <v>45</v>
      </c>
      <c r="L66" s="616">
        <v>45</v>
      </c>
      <c r="M66" s="616">
        <v>48</v>
      </c>
      <c r="N66" s="614">
        <v>39.267000000000003</v>
      </c>
      <c r="O66" s="648"/>
      <c r="P66" s="648"/>
      <c r="R66" s="626"/>
      <c r="T66" s="633"/>
      <c r="U66" s="634"/>
    </row>
    <row r="67" spans="2:21" ht="19.149999999999999" customHeight="1">
      <c r="B67" s="606" t="s">
        <v>1831</v>
      </c>
      <c r="C67" s="654">
        <v>1</v>
      </c>
      <c r="D67" s="607">
        <v>751</v>
      </c>
      <c r="E67" s="608">
        <v>613000</v>
      </c>
      <c r="F67" s="609" t="s">
        <v>1867</v>
      </c>
      <c r="G67" s="610"/>
      <c r="H67" s="610"/>
      <c r="I67" s="611" t="s">
        <v>175</v>
      </c>
      <c r="J67" s="616">
        <v>355</v>
      </c>
      <c r="K67" s="613">
        <v>340</v>
      </c>
      <c r="L67" s="616">
        <v>340</v>
      </c>
      <c r="M67" s="616">
        <v>340</v>
      </c>
      <c r="N67" s="614">
        <v>328.97500000000002</v>
      </c>
      <c r="O67" s="648"/>
      <c r="P67" s="648"/>
      <c r="R67" s="626"/>
      <c r="T67" s="633"/>
      <c r="U67" s="634"/>
    </row>
    <row r="68" spans="2:21" ht="19.149999999999999" customHeight="1">
      <c r="B68" s="606" t="s">
        <v>1831</v>
      </c>
      <c r="C68" s="654">
        <v>1</v>
      </c>
      <c r="D68" s="607">
        <v>755</v>
      </c>
      <c r="E68" s="608">
        <v>613000</v>
      </c>
      <c r="F68" s="609" t="s">
        <v>616</v>
      </c>
      <c r="G68" s="610"/>
      <c r="H68" s="610"/>
      <c r="I68" s="611" t="s">
        <v>44</v>
      </c>
      <c r="J68" s="616">
        <v>0</v>
      </c>
      <c r="K68" s="613">
        <v>75</v>
      </c>
      <c r="L68" s="616">
        <v>75</v>
      </c>
      <c r="M68" s="616">
        <v>0</v>
      </c>
      <c r="N68" s="614">
        <v>0</v>
      </c>
      <c r="O68" s="648"/>
      <c r="P68" s="648"/>
      <c r="R68" s="626"/>
      <c r="T68" s="633"/>
      <c r="U68" s="634"/>
    </row>
    <row r="69" spans="2:21" ht="19.149999999999999" customHeight="1">
      <c r="B69" s="606" t="s">
        <v>1831</v>
      </c>
      <c r="C69" s="654">
        <v>1</v>
      </c>
      <c r="D69" s="607">
        <v>780</v>
      </c>
      <c r="E69" s="608">
        <v>613000</v>
      </c>
      <c r="F69" s="609" t="s">
        <v>1563</v>
      </c>
      <c r="G69" s="610"/>
      <c r="H69" s="610"/>
      <c r="I69" s="611" t="s">
        <v>44</v>
      </c>
      <c r="J69" s="616">
        <v>30</v>
      </c>
      <c r="K69" s="613">
        <v>15</v>
      </c>
      <c r="L69" s="616">
        <v>33</v>
      </c>
      <c r="M69" s="616">
        <v>33</v>
      </c>
      <c r="N69" s="614">
        <v>14.107659999999999</v>
      </c>
      <c r="O69" s="648"/>
      <c r="P69" s="648"/>
      <c r="R69" s="626"/>
      <c r="T69" s="633"/>
      <c r="U69" s="634"/>
    </row>
    <row r="70" spans="2:21" ht="19.149999999999999" customHeight="1">
      <c r="B70" s="606" t="s">
        <v>1831</v>
      </c>
      <c r="C70" s="654">
        <v>1</v>
      </c>
      <c r="D70" s="607">
        <v>782</v>
      </c>
      <c r="E70" s="608">
        <v>613000</v>
      </c>
      <c r="F70" s="609" t="s">
        <v>1764</v>
      </c>
      <c r="G70" s="610"/>
      <c r="H70" s="610"/>
      <c r="I70" s="611" t="s">
        <v>175</v>
      </c>
      <c r="J70" s="616">
        <v>83</v>
      </c>
      <c r="K70" s="613">
        <v>83</v>
      </c>
      <c r="L70" s="616">
        <v>83</v>
      </c>
      <c r="M70" s="616">
        <v>83</v>
      </c>
      <c r="N70" s="614">
        <v>82.713549999999998</v>
      </c>
      <c r="O70" s="648"/>
      <c r="P70" s="648"/>
      <c r="R70" s="626"/>
      <c r="T70" s="633"/>
      <c r="U70" s="634"/>
    </row>
    <row r="71" spans="2:21" ht="19.149999999999999" customHeight="1">
      <c r="B71" s="606" t="s">
        <v>1831</v>
      </c>
      <c r="C71" s="655">
        <v>1</v>
      </c>
      <c r="D71" s="615">
        <v>783</v>
      </c>
      <c r="E71" s="608">
        <v>613000</v>
      </c>
      <c r="F71" s="609" t="s">
        <v>1765</v>
      </c>
      <c r="G71" s="610"/>
      <c r="H71" s="610"/>
      <c r="I71" s="611" t="s">
        <v>44</v>
      </c>
      <c r="J71" s="616">
        <v>0</v>
      </c>
      <c r="K71" s="613">
        <v>0</v>
      </c>
      <c r="L71" s="616">
        <v>0</v>
      </c>
      <c r="M71" s="616">
        <v>75</v>
      </c>
      <c r="N71" s="614">
        <v>0</v>
      </c>
      <c r="O71" s="648"/>
      <c r="P71" s="648"/>
      <c r="R71" s="626"/>
      <c r="T71" s="633"/>
      <c r="U71" s="634"/>
    </row>
    <row r="72" spans="2:21" ht="19.149999999999999" customHeight="1">
      <c r="B72" s="606" t="s">
        <v>1831</v>
      </c>
      <c r="C72" s="655">
        <v>1</v>
      </c>
      <c r="D72" s="615">
        <v>785</v>
      </c>
      <c r="E72" s="608">
        <v>613000</v>
      </c>
      <c r="F72" s="609" t="s">
        <v>570</v>
      </c>
      <c r="G72" s="610"/>
      <c r="H72" s="610"/>
      <c r="I72" s="611" t="s">
        <v>44</v>
      </c>
      <c r="J72" s="616">
        <v>117</v>
      </c>
      <c r="K72" s="613">
        <v>120</v>
      </c>
      <c r="L72" s="616">
        <v>120</v>
      </c>
      <c r="M72" s="616">
        <v>123</v>
      </c>
      <c r="N72" s="614">
        <v>47.494</v>
      </c>
      <c r="O72" s="648"/>
      <c r="P72" s="648"/>
      <c r="R72" s="626"/>
      <c r="T72" s="633"/>
      <c r="U72" s="634"/>
    </row>
    <row r="73" spans="2:21" ht="19.149999999999999" customHeight="1">
      <c r="B73" s="617"/>
      <c r="C73" s="656"/>
      <c r="D73" s="618"/>
      <c r="E73" s="619" t="s">
        <v>708</v>
      </c>
      <c r="F73" s="620" t="s">
        <v>1832</v>
      </c>
      <c r="G73" s="621">
        <f>SUM(G62:G72)</f>
        <v>9.42</v>
      </c>
      <c r="H73" s="621">
        <f>SUM(H62:H72)</f>
        <v>8.4234999999999989</v>
      </c>
      <c r="I73" s="622"/>
      <c r="J73" s="623">
        <f>SUM(J62:J72)</f>
        <v>2612</v>
      </c>
      <c r="K73" s="624">
        <f>SUM(K62:K72)</f>
        <v>2402</v>
      </c>
      <c r="L73" s="623">
        <f>SUM(L62:L72)</f>
        <v>2534</v>
      </c>
      <c r="M73" s="623">
        <f>SUM(M62:M72)</f>
        <v>2833</v>
      </c>
      <c r="N73" s="625">
        <f>SUM(N62:N72)</f>
        <v>2058.8652199999997</v>
      </c>
      <c r="O73" s="648"/>
      <c r="P73" s="648"/>
      <c r="R73" s="626"/>
      <c r="T73" s="633"/>
      <c r="U73" s="632"/>
    </row>
    <row r="74" spans="2:21" ht="33.75" customHeight="1">
      <c r="B74" s="704"/>
      <c r="C74" s="684"/>
      <c r="D74" s="705"/>
      <c r="E74" s="695" t="s">
        <v>1950</v>
      </c>
      <c r="F74" s="687" t="s">
        <v>2035</v>
      </c>
      <c r="G74" s="706"/>
      <c r="H74" s="706"/>
      <c r="I74" s="707"/>
      <c r="J74" s="690"/>
      <c r="K74" s="693"/>
      <c r="L74" s="690"/>
      <c r="M74" s="690"/>
      <c r="N74" s="708"/>
      <c r="O74" s="648"/>
      <c r="P74" s="648"/>
      <c r="R74" s="626"/>
      <c r="T74" s="633"/>
      <c r="U74" s="632"/>
    </row>
    <row r="75" spans="2:21" ht="19.149999999999999" customHeight="1">
      <c r="B75" s="606" t="s">
        <v>1967</v>
      </c>
      <c r="C75" s="655">
        <v>1</v>
      </c>
      <c r="D75" s="615">
        <v>100</v>
      </c>
      <c r="E75" s="608">
        <v>613001</v>
      </c>
      <c r="F75" s="609" t="s">
        <v>1058</v>
      </c>
      <c r="G75" s="610">
        <v>3</v>
      </c>
      <c r="H75" s="610">
        <v>3</v>
      </c>
      <c r="I75" s="611" t="s">
        <v>669</v>
      </c>
      <c r="J75" s="616">
        <v>580</v>
      </c>
      <c r="K75" s="613">
        <v>520</v>
      </c>
      <c r="L75" s="616">
        <v>605</v>
      </c>
      <c r="M75" s="616">
        <v>617</v>
      </c>
      <c r="N75" s="614">
        <v>0</v>
      </c>
      <c r="O75" s="648"/>
      <c r="P75" s="648"/>
      <c r="R75" s="626"/>
      <c r="T75" s="633"/>
      <c r="U75" s="634"/>
    </row>
    <row r="76" spans="2:21" ht="19.149999999999999" customHeight="1">
      <c r="B76" s="606" t="s">
        <v>1967</v>
      </c>
      <c r="C76" s="654">
        <v>2</v>
      </c>
      <c r="D76" s="607">
        <v>410</v>
      </c>
      <c r="E76" s="608">
        <v>613001</v>
      </c>
      <c r="F76" s="609" t="s">
        <v>342</v>
      </c>
      <c r="G76" s="610"/>
      <c r="H76" s="610"/>
      <c r="I76" s="611" t="s">
        <v>175</v>
      </c>
      <c r="J76" s="616">
        <v>85</v>
      </c>
      <c r="K76" s="613">
        <v>85</v>
      </c>
      <c r="L76" s="616">
        <v>85</v>
      </c>
      <c r="M76" s="616">
        <v>125</v>
      </c>
      <c r="N76" s="614">
        <v>0</v>
      </c>
      <c r="O76" s="648"/>
      <c r="P76" s="648"/>
      <c r="R76" s="626"/>
      <c r="T76" s="633"/>
      <c r="U76" s="634"/>
    </row>
    <row r="77" spans="2:21" ht="19.149999999999999" customHeight="1">
      <c r="B77" s="606" t="s">
        <v>1967</v>
      </c>
      <c r="C77" s="654">
        <v>1</v>
      </c>
      <c r="D77" s="607">
        <v>430</v>
      </c>
      <c r="E77" s="608">
        <v>613001</v>
      </c>
      <c r="F77" s="609" t="s">
        <v>192</v>
      </c>
      <c r="G77" s="610"/>
      <c r="H77" s="610"/>
      <c r="I77" s="611" t="s">
        <v>175</v>
      </c>
      <c r="J77" s="616">
        <v>4</v>
      </c>
      <c r="K77" s="613">
        <v>2</v>
      </c>
      <c r="L77" s="616">
        <v>4</v>
      </c>
      <c r="M77" s="616">
        <v>4</v>
      </c>
      <c r="N77" s="614">
        <v>0</v>
      </c>
      <c r="O77" s="648"/>
      <c r="P77" s="648"/>
      <c r="R77" s="626"/>
      <c r="T77" s="633"/>
      <c r="U77" s="634"/>
    </row>
    <row r="78" spans="2:21" ht="19.149999999999999" customHeight="1">
      <c r="B78" s="606" t="s">
        <v>1967</v>
      </c>
      <c r="C78" s="654">
        <v>10</v>
      </c>
      <c r="D78" s="607">
        <v>540</v>
      </c>
      <c r="E78" s="608">
        <v>613001</v>
      </c>
      <c r="F78" s="609" t="s">
        <v>1648</v>
      </c>
      <c r="G78" s="610"/>
      <c r="H78" s="610"/>
      <c r="I78" s="611" t="s">
        <v>175</v>
      </c>
      <c r="J78" s="616">
        <v>5</v>
      </c>
      <c r="K78" s="613">
        <v>4</v>
      </c>
      <c r="L78" s="616">
        <v>4</v>
      </c>
      <c r="M78" s="616">
        <v>4</v>
      </c>
      <c r="N78" s="614">
        <v>0</v>
      </c>
      <c r="O78" s="648"/>
      <c r="P78" s="648"/>
      <c r="R78" s="626"/>
      <c r="T78" s="633"/>
      <c r="U78" s="634"/>
    </row>
    <row r="79" spans="2:21" ht="19.149999999999999" customHeight="1">
      <c r="B79" s="606" t="s">
        <v>1967</v>
      </c>
      <c r="C79" s="655">
        <v>12</v>
      </c>
      <c r="D79" s="615">
        <v>550</v>
      </c>
      <c r="E79" s="608">
        <v>613001</v>
      </c>
      <c r="F79" s="609" t="s">
        <v>607</v>
      </c>
      <c r="G79" s="610"/>
      <c r="H79" s="610"/>
      <c r="I79" s="611" t="s">
        <v>44</v>
      </c>
      <c r="J79" s="616">
        <f>136-27</f>
        <v>109</v>
      </c>
      <c r="K79" s="613">
        <v>30</v>
      </c>
      <c r="L79" s="616">
        <v>123</v>
      </c>
      <c r="M79" s="616">
        <f>76+60</f>
        <v>136</v>
      </c>
      <c r="N79" s="614">
        <v>0</v>
      </c>
      <c r="O79" s="648"/>
      <c r="P79" s="648"/>
      <c r="R79" s="626"/>
      <c r="T79" s="633"/>
      <c r="U79" s="634"/>
    </row>
    <row r="80" spans="2:21" ht="19.149999999999999" customHeight="1">
      <c r="B80" s="606" t="s">
        <v>1967</v>
      </c>
      <c r="C80" s="654">
        <v>5</v>
      </c>
      <c r="D80" s="607">
        <v>750</v>
      </c>
      <c r="E80" s="608">
        <v>613001</v>
      </c>
      <c r="F80" s="609" t="s">
        <v>361</v>
      </c>
      <c r="G80" s="610"/>
      <c r="H80" s="610"/>
      <c r="I80" s="611" t="s">
        <v>175</v>
      </c>
      <c r="J80" s="616">
        <v>15</v>
      </c>
      <c r="K80" s="613">
        <v>15</v>
      </c>
      <c r="L80" s="616">
        <v>15</v>
      </c>
      <c r="M80" s="616">
        <v>15</v>
      </c>
      <c r="N80" s="614">
        <v>0</v>
      </c>
      <c r="O80" s="648"/>
      <c r="P80" s="648"/>
      <c r="R80" s="626"/>
      <c r="T80" s="633"/>
      <c r="U80" s="634"/>
    </row>
    <row r="81" spans="2:21" ht="19.149999999999999" customHeight="1">
      <c r="B81" s="606" t="s">
        <v>1967</v>
      </c>
      <c r="C81" s="655">
        <v>1</v>
      </c>
      <c r="D81" s="615">
        <v>755</v>
      </c>
      <c r="E81" s="608">
        <v>613001</v>
      </c>
      <c r="F81" s="609" t="s">
        <v>616</v>
      </c>
      <c r="G81" s="610"/>
      <c r="H81" s="610"/>
      <c r="I81" s="611" t="s">
        <v>44</v>
      </c>
      <c r="J81" s="616">
        <v>0</v>
      </c>
      <c r="K81" s="613">
        <v>0</v>
      </c>
      <c r="L81" s="616">
        <v>0</v>
      </c>
      <c r="M81" s="616">
        <v>23</v>
      </c>
      <c r="N81" s="614">
        <v>0</v>
      </c>
      <c r="O81" s="648"/>
      <c r="P81" s="648"/>
      <c r="R81" s="626"/>
      <c r="T81" s="633"/>
      <c r="U81" s="634"/>
    </row>
    <row r="82" spans="2:21" ht="19.149999999999999" customHeight="1">
      <c r="B82" s="606" t="s">
        <v>1967</v>
      </c>
      <c r="C82" s="655">
        <v>1</v>
      </c>
      <c r="D82" s="615">
        <v>780</v>
      </c>
      <c r="E82" s="608">
        <v>613001</v>
      </c>
      <c r="F82" s="609" t="s">
        <v>2012</v>
      </c>
      <c r="G82" s="610"/>
      <c r="H82" s="610"/>
      <c r="I82" s="611" t="s">
        <v>44</v>
      </c>
      <c r="J82" s="616">
        <f>518-104</f>
        <v>414</v>
      </c>
      <c r="K82" s="613">
        <v>300</v>
      </c>
      <c r="L82" s="616">
        <v>427</v>
      </c>
      <c r="M82" s="616">
        <v>522</v>
      </c>
      <c r="N82" s="614">
        <v>0</v>
      </c>
      <c r="O82" s="648"/>
      <c r="P82" s="648"/>
      <c r="R82" s="626"/>
      <c r="T82" s="633"/>
      <c r="U82" s="634"/>
    </row>
    <row r="83" spans="2:21" ht="19.149999999999999" customHeight="1">
      <c r="B83" s="606" t="s">
        <v>1967</v>
      </c>
      <c r="C83" s="655">
        <v>1</v>
      </c>
      <c r="D83" s="615">
        <v>781</v>
      </c>
      <c r="E83" s="608">
        <v>613001</v>
      </c>
      <c r="F83" s="609" t="s">
        <v>2013</v>
      </c>
      <c r="G83" s="610"/>
      <c r="H83" s="610"/>
      <c r="I83" s="611" t="s">
        <v>44</v>
      </c>
      <c r="J83" s="616">
        <f>216-43</f>
        <v>173</v>
      </c>
      <c r="K83" s="613">
        <v>100</v>
      </c>
      <c r="L83" s="616">
        <v>222</v>
      </c>
      <c r="M83" s="616">
        <f>223+4</f>
        <v>227</v>
      </c>
      <c r="N83" s="614">
        <v>0</v>
      </c>
      <c r="O83" s="648"/>
      <c r="P83" s="648"/>
      <c r="R83" s="626"/>
      <c r="T83" s="633"/>
      <c r="U83" s="634"/>
    </row>
    <row r="84" spans="2:21" ht="19.149999999999999" customHeight="1">
      <c r="B84" s="606" t="s">
        <v>1967</v>
      </c>
      <c r="C84" s="655">
        <v>1</v>
      </c>
      <c r="D84" s="615">
        <v>782</v>
      </c>
      <c r="E84" s="608">
        <v>613001</v>
      </c>
      <c r="F84" s="609" t="s">
        <v>2014</v>
      </c>
      <c r="G84" s="610"/>
      <c r="H84" s="610"/>
      <c r="I84" s="611" t="s">
        <v>175</v>
      </c>
      <c r="J84" s="616">
        <v>530</v>
      </c>
      <c r="K84" s="613">
        <v>450</v>
      </c>
      <c r="L84" s="616">
        <v>490</v>
      </c>
      <c r="M84" s="616">
        <v>500</v>
      </c>
      <c r="N84" s="614">
        <v>0</v>
      </c>
      <c r="O84" s="648"/>
      <c r="P84" s="648"/>
      <c r="R84" s="626"/>
      <c r="T84" s="633"/>
      <c r="U84" s="634"/>
    </row>
    <row r="85" spans="2:21" ht="19.149999999999999" customHeight="1">
      <c r="B85" s="606" t="s">
        <v>1967</v>
      </c>
      <c r="C85" s="655">
        <v>1</v>
      </c>
      <c r="D85" s="615">
        <v>783</v>
      </c>
      <c r="E85" s="608">
        <v>613001</v>
      </c>
      <c r="F85" s="609" t="s">
        <v>2015</v>
      </c>
      <c r="G85" s="610"/>
      <c r="H85" s="610"/>
      <c r="I85" s="611" t="s">
        <v>175</v>
      </c>
      <c r="J85" s="616">
        <v>665</v>
      </c>
      <c r="K85" s="613">
        <v>321</v>
      </c>
      <c r="L85" s="616">
        <v>321</v>
      </c>
      <c r="M85" s="616">
        <v>665</v>
      </c>
      <c r="N85" s="614">
        <v>0</v>
      </c>
      <c r="O85" s="648"/>
      <c r="P85" s="648"/>
      <c r="R85" s="626"/>
      <c r="T85" s="633"/>
      <c r="U85" s="634"/>
    </row>
    <row r="86" spans="2:21" ht="19.149999999999999" customHeight="1">
      <c r="B86" s="606" t="s">
        <v>1967</v>
      </c>
      <c r="C86" s="655">
        <v>1</v>
      </c>
      <c r="D86" s="615">
        <v>785</v>
      </c>
      <c r="E86" s="608">
        <v>613001</v>
      </c>
      <c r="F86" s="609" t="s">
        <v>2185</v>
      </c>
      <c r="G86" s="610"/>
      <c r="H86" s="610"/>
      <c r="I86" s="611" t="s">
        <v>175</v>
      </c>
      <c r="J86" s="616">
        <v>850</v>
      </c>
      <c r="K86" s="613">
        <v>0</v>
      </c>
      <c r="L86" s="616">
        <v>0</v>
      </c>
      <c r="M86" s="616">
        <v>0</v>
      </c>
      <c r="N86" s="614">
        <v>0</v>
      </c>
      <c r="O86" s="648"/>
      <c r="P86" s="648"/>
      <c r="R86" s="626"/>
      <c r="T86" s="633"/>
      <c r="U86" s="634"/>
    </row>
    <row r="87" spans="2:21" ht="19.149999999999999" customHeight="1">
      <c r="B87" s="617"/>
      <c r="C87" s="656"/>
      <c r="D87" s="618"/>
      <c r="E87" s="619" t="s">
        <v>1950</v>
      </c>
      <c r="F87" s="620" t="s">
        <v>2036</v>
      </c>
      <c r="G87" s="621">
        <f>SUM(G75:G86)</f>
        <v>3</v>
      </c>
      <c r="H87" s="621">
        <f>SUM(H75:H86)</f>
        <v>3</v>
      </c>
      <c r="I87" s="622"/>
      <c r="J87" s="623">
        <f>SUM(J75:J86)</f>
        <v>3430</v>
      </c>
      <c r="K87" s="624">
        <f>SUM(K75:K86)</f>
        <v>1827</v>
      </c>
      <c r="L87" s="623">
        <f>SUM(L75:L86)</f>
        <v>2296</v>
      </c>
      <c r="M87" s="623">
        <f>SUM(M75:M86)</f>
        <v>2838</v>
      </c>
      <c r="N87" s="625">
        <f>SUM(N75:N86)</f>
        <v>0</v>
      </c>
      <c r="O87" s="648"/>
      <c r="P87" s="648"/>
      <c r="R87" s="626"/>
      <c r="T87" s="633"/>
      <c r="U87" s="632"/>
    </row>
    <row r="88" spans="2:21" ht="19.149999999999999" customHeight="1">
      <c r="B88" s="704"/>
      <c r="C88" s="684"/>
      <c r="D88" s="705"/>
      <c r="E88" s="695" t="s">
        <v>866</v>
      </c>
      <c r="F88" s="687" t="s">
        <v>867</v>
      </c>
      <c r="G88" s="706"/>
      <c r="H88" s="706"/>
      <c r="I88" s="707"/>
      <c r="J88" s="690"/>
      <c r="K88" s="693"/>
      <c r="L88" s="690"/>
      <c r="M88" s="690"/>
      <c r="N88" s="708"/>
      <c r="O88" s="648"/>
      <c r="P88" s="648"/>
      <c r="R88" s="626"/>
      <c r="T88" s="633"/>
      <c r="U88" s="632"/>
    </row>
    <row r="89" spans="2:21" ht="19.149999999999999" customHeight="1">
      <c r="B89" s="606" t="s">
        <v>867</v>
      </c>
      <c r="C89" s="655">
        <v>12</v>
      </c>
      <c r="D89" s="615">
        <v>100</v>
      </c>
      <c r="E89" s="608">
        <v>614000</v>
      </c>
      <c r="F89" s="609" t="s">
        <v>1058</v>
      </c>
      <c r="G89" s="610">
        <v>7</v>
      </c>
      <c r="H89" s="610">
        <v>7</v>
      </c>
      <c r="I89" s="611" t="s">
        <v>669</v>
      </c>
      <c r="J89" s="616">
        <v>1677</v>
      </c>
      <c r="K89" s="613">
        <v>1640</v>
      </c>
      <c r="L89" s="616">
        <v>1719</v>
      </c>
      <c r="M89" s="616">
        <v>1754</v>
      </c>
      <c r="N89" s="614">
        <v>1657.43496</v>
      </c>
      <c r="O89" s="648"/>
      <c r="P89" s="648"/>
      <c r="R89" s="626"/>
      <c r="T89" s="633"/>
      <c r="U89" s="634"/>
    </row>
    <row r="90" spans="2:21" ht="19.149999999999999" customHeight="1">
      <c r="B90" s="606" t="s">
        <v>867</v>
      </c>
      <c r="C90" s="654">
        <v>12</v>
      </c>
      <c r="D90" s="607">
        <v>470</v>
      </c>
      <c r="E90" s="608">
        <v>614000</v>
      </c>
      <c r="F90" s="609" t="s">
        <v>286</v>
      </c>
      <c r="G90" s="610"/>
      <c r="H90" s="610"/>
      <c r="I90" s="611" t="s">
        <v>44</v>
      </c>
      <c r="J90" s="616">
        <v>15</v>
      </c>
      <c r="K90" s="613">
        <v>10</v>
      </c>
      <c r="L90" s="616">
        <v>15</v>
      </c>
      <c r="M90" s="616">
        <v>15</v>
      </c>
      <c r="N90" s="614">
        <v>13.311440000000001</v>
      </c>
      <c r="O90" s="648"/>
      <c r="P90" s="648"/>
      <c r="R90" s="626"/>
      <c r="T90" s="633"/>
      <c r="U90" s="634"/>
    </row>
    <row r="91" spans="2:21" ht="19.149999999999999" customHeight="1">
      <c r="B91" s="606" t="s">
        <v>867</v>
      </c>
      <c r="C91" s="654">
        <v>12</v>
      </c>
      <c r="D91" s="607">
        <v>514</v>
      </c>
      <c r="E91" s="608">
        <v>614000</v>
      </c>
      <c r="F91" s="609" t="s">
        <v>1658</v>
      </c>
      <c r="G91" s="610"/>
      <c r="H91" s="610"/>
      <c r="I91" s="611" t="s">
        <v>44</v>
      </c>
      <c r="J91" s="616">
        <v>125</v>
      </c>
      <c r="K91" s="613">
        <v>60</v>
      </c>
      <c r="L91" s="616">
        <v>125</v>
      </c>
      <c r="M91" s="616">
        <v>125</v>
      </c>
      <c r="N91" s="614">
        <v>98.067100000000011</v>
      </c>
      <c r="O91" s="648"/>
      <c r="P91" s="648"/>
      <c r="R91" s="626"/>
      <c r="T91" s="633"/>
      <c r="U91" s="634"/>
    </row>
    <row r="92" spans="2:21" ht="19.149999999999999" customHeight="1">
      <c r="B92" s="606" t="s">
        <v>867</v>
      </c>
      <c r="C92" s="654">
        <v>5</v>
      </c>
      <c r="D92" s="607">
        <v>530</v>
      </c>
      <c r="E92" s="608">
        <v>614000</v>
      </c>
      <c r="F92" s="609" t="s">
        <v>362</v>
      </c>
      <c r="G92" s="610"/>
      <c r="H92" s="610"/>
      <c r="I92" s="611" t="s">
        <v>175</v>
      </c>
      <c r="J92" s="616">
        <v>50</v>
      </c>
      <c r="K92" s="613">
        <v>50</v>
      </c>
      <c r="L92" s="616">
        <v>50</v>
      </c>
      <c r="M92" s="616">
        <v>50</v>
      </c>
      <c r="N92" s="614">
        <v>47.73498</v>
      </c>
      <c r="O92" s="648"/>
      <c r="P92" s="648"/>
      <c r="R92" s="626"/>
      <c r="T92" s="633"/>
      <c r="U92" s="634"/>
    </row>
    <row r="93" spans="2:21" ht="19.149999999999999" customHeight="1">
      <c r="B93" s="606" t="s">
        <v>867</v>
      </c>
      <c r="C93" s="654">
        <v>10</v>
      </c>
      <c r="D93" s="607">
        <v>540</v>
      </c>
      <c r="E93" s="608">
        <v>614000</v>
      </c>
      <c r="F93" s="609" t="s">
        <v>1649</v>
      </c>
      <c r="G93" s="610"/>
      <c r="H93" s="610"/>
      <c r="I93" s="611" t="s">
        <v>175</v>
      </c>
      <c r="J93" s="616">
        <v>7</v>
      </c>
      <c r="K93" s="613">
        <v>7</v>
      </c>
      <c r="L93" s="616">
        <v>7</v>
      </c>
      <c r="M93" s="616">
        <v>7</v>
      </c>
      <c r="N93" s="614">
        <v>4.8432200000000005</v>
      </c>
      <c r="O93" s="648"/>
      <c r="P93" s="648"/>
      <c r="R93" s="626"/>
      <c r="T93" s="633"/>
      <c r="U93" s="634"/>
    </row>
    <row r="94" spans="2:21" ht="19.149999999999999" customHeight="1">
      <c r="B94" s="606" t="s">
        <v>867</v>
      </c>
      <c r="C94" s="654">
        <v>12</v>
      </c>
      <c r="D94" s="607">
        <v>550</v>
      </c>
      <c r="E94" s="608">
        <v>614000</v>
      </c>
      <c r="F94" s="609" t="s">
        <v>607</v>
      </c>
      <c r="G94" s="610"/>
      <c r="H94" s="610"/>
      <c r="I94" s="611" t="s">
        <v>44</v>
      </c>
      <c r="J94" s="616">
        <v>576</v>
      </c>
      <c r="K94" s="613">
        <v>676</v>
      </c>
      <c r="L94" s="616">
        <v>676</v>
      </c>
      <c r="M94" s="616">
        <v>576</v>
      </c>
      <c r="N94" s="614">
        <v>589.89568000000008</v>
      </c>
      <c r="O94" s="648"/>
      <c r="P94" s="648"/>
      <c r="R94" s="626"/>
      <c r="T94" s="633"/>
      <c r="U94" s="634"/>
    </row>
    <row r="95" spans="2:21" ht="19.149999999999999" customHeight="1">
      <c r="B95" s="606" t="s">
        <v>867</v>
      </c>
      <c r="C95" s="655">
        <v>12</v>
      </c>
      <c r="D95" s="615">
        <v>551</v>
      </c>
      <c r="E95" s="608">
        <v>614000</v>
      </c>
      <c r="F95" s="609" t="s">
        <v>1939</v>
      </c>
      <c r="G95" s="610"/>
      <c r="H95" s="610"/>
      <c r="I95" s="611" t="s">
        <v>44</v>
      </c>
      <c r="J95" s="616">
        <f>198+120</f>
        <v>318</v>
      </c>
      <c r="K95" s="613">
        <v>118</v>
      </c>
      <c r="L95" s="616">
        <v>118</v>
      </c>
      <c r="M95" s="616">
        <v>198</v>
      </c>
      <c r="N95" s="614">
        <v>33.970800000000004</v>
      </c>
      <c r="O95" s="648"/>
      <c r="P95" s="648"/>
      <c r="R95" s="626"/>
      <c r="T95" s="633"/>
      <c r="U95" s="634"/>
    </row>
    <row r="96" spans="2:21" ht="19.149999999999999" customHeight="1">
      <c r="B96" s="606" t="s">
        <v>867</v>
      </c>
      <c r="C96" s="654">
        <v>12</v>
      </c>
      <c r="D96" s="607">
        <v>562</v>
      </c>
      <c r="E96" s="608">
        <v>614000</v>
      </c>
      <c r="F96" s="609" t="s">
        <v>1680</v>
      </c>
      <c r="G96" s="610"/>
      <c r="H96" s="610"/>
      <c r="I96" s="611" t="s">
        <v>44</v>
      </c>
      <c r="J96" s="616">
        <v>5</v>
      </c>
      <c r="K96" s="613">
        <v>4</v>
      </c>
      <c r="L96" s="616">
        <v>5</v>
      </c>
      <c r="M96" s="616">
        <v>5</v>
      </c>
      <c r="N96" s="614">
        <v>6.2E-2</v>
      </c>
      <c r="O96" s="648"/>
      <c r="P96" s="648"/>
      <c r="R96" s="626"/>
      <c r="T96" s="633"/>
      <c r="U96" s="634"/>
    </row>
    <row r="97" spans="2:21" ht="19.149999999999999" customHeight="1">
      <c r="B97" s="606" t="s">
        <v>867</v>
      </c>
      <c r="C97" s="654">
        <v>12</v>
      </c>
      <c r="D97" s="607">
        <v>571</v>
      </c>
      <c r="E97" s="608">
        <v>614000</v>
      </c>
      <c r="F97" s="609" t="s">
        <v>1778</v>
      </c>
      <c r="G97" s="610"/>
      <c r="H97" s="610"/>
      <c r="I97" s="611" t="s">
        <v>44</v>
      </c>
      <c r="J97" s="616">
        <v>174</v>
      </c>
      <c r="K97" s="613">
        <v>120</v>
      </c>
      <c r="L97" s="616">
        <v>174</v>
      </c>
      <c r="M97" s="616">
        <v>174</v>
      </c>
      <c r="N97" s="614">
        <v>150.91045000000003</v>
      </c>
      <c r="O97" s="648"/>
      <c r="P97" s="648"/>
      <c r="R97" s="626"/>
      <c r="T97" s="633"/>
      <c r="U97" s="634"/>
    </row>
    <row r="98" spans="2:21" ht="19.149999999999999" customHeight="1">
      <c r="B98" s="606" t="s">
        <v>867</v>
      </c>
      <c r="C98" s="655">
        <v>12</v>
      </c>
      <c r="D98" s="615">
        <v>780</v>
      </c>
      <c r="E98" s="608">
        <v>614000</v>
      </c>
      <c r="F98" s="609" t="s">
        <v>1385</v>
      </c>
      <c r="G98" s="610"/>
      <c r="H98" s="610"/>
      <c r="I98" s="611" t="s">
        <v>44</v>
      </c>
      <c r="J98" s="616">
        <v>77</v>
      </c>
      <c r="K98" s="613">
        <v>77</v>
      </c>
      <c r="L98" s="616">
        <v>77</v>
      </c>
      <c r="M98" s="616">
        <v>96</v>
      </c>
      <c r="N98" s="614">
        <v>98.770219999999995</v>
      </c>
      <c r="O98" s="648"/>
      <c r="P98" s="648"/>
      <c r="R98" s="626"/>
      <c r="T98" s="633"/>
      <c r="U98" s="634"/>
    </row>
    <row r="99" spans="2:21" ht="19.149999999999999" customHeight="1">
      <c r="B99" s="606" t="s">
        <v>867</v>
      </c>
      <c r="C99" s="655">
        <v>12</v>
      </c>
      <c r="D99" s="615">
        <v>784</v>
      </c>
      <c r="E99" s="608">
        <v>614000</v>
      </c>
      <c r="F99" s="609" t="s">
        <v>521</v>
      </c>
      <c r="G99" s="610"/>
      <c r="H99" s="610"/>
      <c r="I99" s="611" t="s">
        <v>44</v>
      </c>
      <c r="J99" s="616">
        <v>96</v>
      </c>
      <c r="K99" s="613">
        <v>86</v>
      </c>
      <c r="L99" s="616">
        <v>86</v>
      </c>
      <c r="M99" s="616">
        <v>96</v>
      </c>
      <c r="N99" s="614">
        <v>93.598550000000003</v>
      </c>
      <c r="O99" s="648"/>
      <c r="P99" s="648"/>
      <c r="R99" s="626"/>
      <c r="T99" s="633"/>
      <c r="U99" s="634"/>
    </row>
    <row r="100" spans="2:21" ht="19.149999999999999" customHeight="1">
      <c r="B100" s="711"/>
      <c r="C100" s="712"/>
      <c r="D100" s="713"/>
      <c r="E100" s="714" t="s">
        <v>866</v>
      </c>
      <c r="F100" s="715" t="s">
        <v>522</v>
      </c>
      <c r="G100" s="716">
        <f>SUM(G88:G99)</f>
        <v>7</v>
      </c>
      <c r="H100" s="716">
        <f>SUM(H88:H99)</f>
        <v>7</v>
      </c>
      <c r="I100" s="717"/>
      <c r="J100" s="718">
        <f>SUM(J88:J99)</f>
        <v>3120</v>
      </c>
      <c r="K100" s="719">
        <f>SUM(K88:K99)</f>
        <v>2848</v>
      </c>
      <c r="L100" s="718">
        <f>SUM(L88:L99)</f>
        <v>3052</v>
      </c>
      <c r="M100" s="718">
        <f>SUM(M88:M99)</f>
        <v>3096</v>
      </c>
      <c r="N100" s="720">
        <f>SUM(N88:N99)</f>
        <v>2788.5993999999996</v>
      </c>
      <c r="O100" s="648"/>
      <c r="P100" s="648"/>
      <c r="R100" s="626"/>
      <c r="T100" s="633"/>
      <c r="U100" s="632"/>
    </row>
    <row r="101" spans="2:21" ht="19.149999999999999" customHeight="1">
      <c r="B101" s="704"/>
      <c r="C101" s="684"/>
      <c r="D101" s="705"/>
      <c r="E101" s="695" t="s">
        <v>283</v>
      </c>
      <c r="F101" s="687" t="s">
        <v>886</v>
      </c>
      <c r="G101" s="706"/>
      <c r="H101" s="706"/>
      <c r="I101" s="707"/>
      <c r="J101" s="690"/>
      <c r="K101" s="693"/>
      <c r="L101" s="690"/>
      <c r="M101" s="690"/>
      <c r="N101" s="708"/>
      <c r="O101" s="648"/>
      <c r="P101" s="648"/>
      <c r="R101" s="626"/>
      <c r="T101" s="633"/>
      <c r="U101" s="632"/>
    </row>
    <row r="102" spans="2:21" ht="19.149999999999999" customHeight="1">
      <c r="B102" s="606" t="s">
        <v>886</v>
      </c>
      <c r="C102" s="655">
        <v>11</v>
      </c>
      <c r="D102" s="615">
        <v>100</v>
      </c>
      <c r="E102" s="608">
        <v>615000</v>
      </c>
      <c r="F102" s="609" t="s">
        <v>848</v>
      </c>
      <c r="G102" s="610">
        <v>15.55</v>
      </c>
      <c r="H102" s="610">
        <v>14.200633333333336</v>
      </c>
      <c r="I102" s="611" t="s">
        <v>669</v>
      </c>
      <c r="J102" s="616">
        <v>3210</v>
      </c>
      <c r="K102" s="613">
        <v>2930</v>
      </c>
      <c r="L102" s="616">
        <v>3005</v>
      </c>
      <c r="M102" s="616">
        <v>3079</v>
      </c>
      <c r="N102" s="614">
        <v>2758.9195499999996</v>
      </c>
      <c r="O102" s="648"/>
      <c r="P102" s="648"/>
      <c r="R102" s="626"/>
      <c r="T102" s="633"/>
      <c r="U102" s="634"/>
    </row>
    <row r="103" spans="2:21" ht="19.149999999999999" customHeight="1">
      <c r="B103" s="606" t="s">
        <v>886</v>
      </c>
      <c r="C103" s="654">
        <v>11</v>
      </c>
      <c r="D103" s="607">
        <v>470</v>
      </c>
      <c r="E103" s="608">
        <v>615000</v>
      </c>
      <c r="F103" s="609" t="s">
        <v>343</v>
      </c>
      <c r="G103" s="610"/>
      <c r="H103" s="610"/>
      <c r="I103" s="611" t="s">
        <v>44</v>
      </c>
      <c r="J103" s="616">
        <v>45</v>
      </c>
      <c r="K103" s="613">
        <v>48</v>
      </c>
      <c r="L103" s="616">
        <v>48</v>
      </c>
      <c r="M103" s="616">
        <v>48</v>
      </c>
      <c r="N103" s="614">
        <v>36.030839999999998</v>
      </c>
      <c r="O103" s="648"/>
      <c r="P103" s="648"/>
      <c r="R103" s="626"/>
      <c r="T103" s="633"/>
      <c r="U103" s="634"/>
    </row>
    <row r="104" spans="2:21" ht="19.149999999999999" customHeight="1">
      <c r="B104" s="606" t="s">
        <v>886</v>
      </c>
      <c r="C104" s="654">
        <v>11</v>
      </c>
      <c r="D104" s="607">
        <v>511</v>
      </c>
      <c r="E104" s="608">
        <v>615000</v>
      </c>
      <c r="F104" s="609" t="s">
        <v>1682</v>
      </c>
      <c r="G104" s="610"/>
      <c r="H104" s="610"/>
      <c r="I104" s="611" t="s">
        <v>44</v>
      </c>
      <c r="J104" s="616">
        <v>6</v>
      </c>
      <c r="K104" s="613">
        <v>6</v>
      </c>
      <c r="L104" s="616">
        <v>6</v>
      </c>
      <c r="M104" s="616">
        <v>6</v>
      </c>
      <c r="N104" s="614">
        <v>4.2191700000000001</v>
      </c>
      <c r="O104" s="648"/>
      <c r="P104" s="648"/>
      <c r="R104" s="626"/>
      <c r="T104" s="633"/>
      <c r="U104" s="634"/>
    </row>
    <row r="105" spans="2:21" ht="28">
      <c r="B105" s="606" t="s">
        <v>886</v>
      </c>
      <c r="C105" s="655">
        <v>11</v>
      </c>
      <c r="D105" s="615">
        <v>521</v>
      </c>
      <c r="E105" s="608">
        <v>615000</v>
      </c>
      <c r="F105" s="609" t="s">
        <v>1659</v>
      </c>
      <c r="G105" s="610"/>
      <c r="H105" s="610"/>
      <c r="I105" s="611" t="s">
        <v>44</v>
      </c>
      <c r="J105" s="616">
        <v>528</v>
      </c>
      <c r="K105" s="613">
        <v>358</v>
      </c>
      <c r="L105" s="616">
        <v>358</v>
      </c>
      <c r="M105" s="616">
        <v>528</v>
      </c>
      <c r="N105" s="614">
        <v>483.05973</v>
      </c>
      <c r="O105" s="648"/>
      <c r="P105" s="648"/>
      <c r="R105" s="626"/>
      <c r="T105" s="633"/>
      <c r="U105" s="634"/>
    </row>
    <row r="106" spans="2:21" ht="19.149999999999999" customHeight="1">
      <c r="B106" s="606" t="s">
        <v>886</v>
      </c>
      <c r="C106" s="654">
        <v>11</v>
      </c>
      <c r="D106" s="607">
        <v>523</v>
      </c>
      <c r="E106" s="608">
        <v>615000</v>
      </c>
      <c r="F106" s="701" t="s">
        <v>506</v>
      </c>
      <c r="G106" s="610"/>
      <c r="H106" s="610"/>
      <c r="I106" s="611" t="s">
        <v>175</v>
      </c>
      <c r="J106" s="616">
        <v>300</v>
      </c>
      <c r="K106" s="613">
        <v>430</v>
      </c>
      <c r="L106" s="616">
        <v>430</v>
      </c>
      <c r="M106" s="616">
        <v>430</v>
      </c>
      <c r="N106" s="614">
        <v>406.33391999999998</v>
      </c>
      <c r="O106" s="648"/>
      <c r="P106" s="648"/>
      <c r="R106" s="626"/>
      <c r="T106" s="633"/>
      <c r="U106" s="634"/>
    </row>
    <row r="107" spans="2:21" ht="28">
      <c r="B107" s="606" t="s">
        <v>886</v>
      </c>
      <c r="C107" s="654">
        <v>11</v>
      </c>
      <c r="D107" s="607">
        <v>524</v>
      </c>
      <c r="E107" s="608">
        <v>615000</v>
      </c>
      <c r="F107" s="703" t="s">
        <v>1881</v>
      </c>
      <c r="G107" s="610"/>
      <c r="H107" s="610"/>
      <c r="I107" s="611" t="s">
        <v>175</v>
      </c>
      <c r="J107" s="616">
        <v>344</v>
      </c>
      <c r="K107" s="613">
        <v>344</v>
      </c>
      <c r="L107" s="616">
        <v>344</v>
      </c>
      <c r="M107" s="616">
        <v>344</v>
      </c>
      <c r="N107" s="614">
        <v>125.84699999999999</v>
      </c>
      <c r="O107" s="648"/>
      <c r="P107" s="648"/>
      <c r="R107" s="626"/>
      <c r="T107" s="633"/>
      <c r="U107" s="634"/>
    </row>
    <row r="108" spans="2:21" ht="19.149999999999999" customHeight="1">
      <c r="B108" s="606" t="s">
        <v>886</v>
      </c>
      <c r="C108" s="654">
        <v>11</v>
      </c>
      <c r="D108" s="607">
        <v>525</v>
      </c>
      <c r="E108" s="608">
        <v>615000</v>
      </c>
      <c r="F108" s="609" t="s">
        <v>2394</v>
      </c>
      <c r="G108" s="610"/>
      <c r="H108" s="610"/>
      <c r="I108" s="611" t="s">
        <v>175</v>
      </c>
      <c r="J108" s="616">
        <v>36</v>
      </c>
      <c r="K108" s="613">
        <v>36</v>
      </c>
      <c r="L108" s="616">
        <v>36</v>
      </c>
      <c r="M108" s="616">
        <v>36</v>
      </c>
      <c r="N108" s="614">
        <v>37</v>
      </c>
      <c r="O108" s="648"/>
      <c r="P108" s="648"/>
      <c r="R108" s="626"/>
      <c r="T108" s="633"/>
      <c r="U108" s="634"/>
    </row>
    <row r="109" spans="2:21" ht="19.149999999999999" customHeight="1">
      <c r="B109" s="606" t="s">
        <v>886</v>
      </c>
      <c r="C109" s="654">
        <v>11</v>
      </c>
      <c r="D109" s="607">
        <v>526</v>
      </c>
      <c r="E109" s="608">
        <v>615000</v>
      </c>
      <c r="F109" s="609" t="s">
        <v>1298</v>
      </c>
      <c r="G109" s="610"/>
      <c r="H109" s="610"/>
      <c r="I109" s="611" t="s">
        <v>44</v>
      </c>
      <c r="J109" s="616">
        <v>288</v>
      </c>
      <c r="K109" s="613">
        <v>576</v>
      </c>
      <c r="L109" s="616">
        <v>576</v>
      </c>
      <c r="M109" s="616">
        <v>576</v>
      </c>
      <c r="N109" s="614">
        <v>575.99964</v>
      </c>
      <c r="O109" s="648"/>
      <c r="P109" s="648"/>
      <c r="R109" s="626"/>
      <c r="T109" s="633"/>
      <c r="U109" s="634"/>
    </row>
    <row r="110" spans="2:21" ht="19.149999999999999" customHeight="1">
      <c r="B110" s="606" t="s">
        <v>886</v>
      </c>
      <c r="C110" s="654">
        <v>5</v>
      </c>
      <c r="D110" s="607">
        <v>530</v>
      </c>
      <c r="E110" s="608">
        <v>615000</v>
      </c>
      <c r="F110" s="609" t="s">
        <v>362</v>
      </c>
      <c r="G110" s="610"/>
      <c r="H110" s="610"/>
      <c r="I110" s="611" t="s">
        <v>175</v>
      </c>
      <c r="J110" s="616">
        <v>60</v>
      </c>
      <c r="K110" s="613">
        <v>60</v>
      </c>
      <c r="L110" s="616">
        <v>62</v>
      </c>
      <c r="M110" s="616">
        <v>62</v>
      </c>
      <c r="N110" s="614">
        <v>58.598589999999994</v>
      </c>
      <c r="O110" s="648"/>
      <c r="P110" s="648"/>
      <c r="R110" s="626"/>
      <c r="T110" s="633"/>
      <c r="U110" s="634"/>
    </row>
    <row r="111" spans="2:21" ht="19.149999999999999" customHeight="1">
      <c r="B111" s="606" t="s">
        <v>886</v>
      </c>
      <c r="C111" s="654">
        <v>10</v>
      </c>
      <c r="D111" s="607">
        <v>540</v>
      </c>
      <c r="E111" s="608">
        <v>615000</v>
      </c>
      <c r="F111" s="609" t="s">
        <v>1648</v>
      </c>
      <c r="G111" s="610"/>
      <c r="H111" s="610"/>
      <c r="I111" s="611" t="s">
        <v>175</v>
      </c>
      <c r="J111" s="616">
        <v>6</v>
      </c>
      <c r="K111" s="613">
        <v>6</v>
      </c>
      <c r="L111" s="616">
        <v>6</v>
      </c>
      <c r="M111" s="616">
        <v>6</v>
      </c>
      <c r="N111" s="614">
        <v>3.8919600000000001</v>
      </c>
      <c r="O111" s="648"/>
      <c r="P111" s="648"/>
      <c r="R111" s="626"/>
      <c r="T111" s="633"/>
      <c r="U111" s="634"/>
    </row>
    <row r="112" spans="2:21" ht="19.149999999999999" customHeight="1">
      <c r="B112" s="606" t="s">
        <v>886</v>
      </c>
      <c r="C112" s="655">
        <v>12</v>
      </c>
      <c r="D112" s="615">
        <v>550</v>
      </c>
      <c r="E112" s="608">
        <v>615000</v>
      </c>
      <c r="F112" s="609" t="s">
        <v>607</v>
      </c>
      <c r="G112" s="610"/>
      <c r="H112" s="610"/>
      <c r="I112" s="611" t="s">
        <v>44</v>
      </c>
      <c r="J112" s="616">
        <v>300</v>
      </c>
      <c r="K112" s="613">
        <v>240</v>
      </c>
      <c r="L112" s="616">
        <v>248</v>
      </c>
      <c r="M112" s="616">
        <v>300</v>
      </c>
      <c r="N112" s="614">
        <v>265.70429999999999</v>
      </c>
      <c r="O112" s="648"/>
      <c r="P112" s="648"/>
      <c r="R112" s="626"/>
      <c r="T112" s="633"/>
      <c r="U112" s="634"/>
    </row>
    <row r="113" spans="2:21" ht="28">
      <c r="B113" s="606" t="s">
        <v>886</v>
      </c>
      <c r="C113" s="654">
        <v>11</v>
      </c>
      <c r="D113" s="607">
        <v>560</v>
      </c>
      <c r="E113" s="608">
        <v>615000</v>
      </c>
      <c r="F113" s="703" t="s">
        <v>1959</v>
      </c>
      <c r="G113" s="610"/>
      <c r="H113" s="610"/>
      <c r="I113" s="611" t="s">
        <v>44</v>
      </c>
      <c r="J113" s="616">
        <v>0</v>
      </c>
      <c r="K113" s="613">
        <v>0</v>
      </c>
      <c r="L113" s="616">
        <v>0</v>
      </c>
      <c r="M113" s="616">
        <v>0</v>
      </c>
      <c r="N113" s="614">
        <v>12.008319999999999</v>
      </c>
      <c r="O113" s="648"/>
      <c r="P113" s="648"/>
      <c r="R113" s="626"/>
      <c r="T113" s="633"/>
      <c r="U113" s="634"/>
    </row>
    <row r="114" spans="2:21" ht="19.149999999999999" customHeight="1">
      <c r="B114" s="606" t="s">
        <v>886</v>
      </c>
      <c r="C114" s="654">
        <v>10</v>
      </c>
      <c r="D114" s="607">
        <v>570</v>
      </c>
      <c r="E114" s="608">
        <v>615000</v>
      </c>
      <c r="F114" s="609" t="s">
        <v>689</v>
      </c>
      <c r="G114" s="610"/>
      <c r="H114" s="610"/>
      <c r="I114" s="611" t="s">
        <v>175</v>
      </c>
      <c r="J114" s="616">
        <v>250</v>
      </c>
      <c r="K114" s="613">
        <v>250</v>
      </c>
      <c r="L114" s="616">
        <v>250</v>
      </c>
      <c r="M114" s="616">
        <v>250</v>
      </c>
      <c r="N114" s="614">
        <v>198.55161999999999</v>
      </c>
      <c r="O114" s="648"/>
      <c r="P114" s="648"/>
      <c r="R114" s="626"/>
      <c r="T114" s="633"/>
      <c r="U114" s="634"/>
    </row>
    <row r="115" spans="2:21" ht="19.149999999999999" customHeight="1">
      <c r="B115" s="606" t="s">
        <v>886</v>
      </c>
      <c r="C115" s="654">
        <v>5</v>
      </c>
      <c r="D115" s="607">
        <v>742</v>
      </c>
      <c r="E115" s="608">
        <v>615000</v>
      </c>
      <c r="F115" s="710" t="s">
        <v>609</v>
      </c>
      <c r="G115" s="610"/>
      <c r="H115" s="610"/>
      <c r="I115" s="611" t="s">
        <v>175</v>
      </c>
      <c r="J115" s="616">
        <v>3</v>
      </c>
      <c r="K115" s="613">
        <v>3</v>
      </c>
      <c r="L115" s="616">
        <v>3</v>
      </c>
      <c r="M115" s="616">
        <v>3</v>
      </c>
      <c r="N115" s="614">
        <v>1.72634</v>
      </c>
      <c r="O115" s="648"/>
      <c r="P115" s="648"/>
      <c r="R115" s="626"/>
      <c r="T115" s="633"/>
      <c r="U115" s="634"/>
    </row>
    <row r="116" spans="2:21" ht="19.149999999999999" customHeight="1">
      <c r="B116" s="606" t="s">
        <v>886</v>
      </c>
      <c r="C116" s="654">
        <v>11</v>
      </c>
      <c r="D116" s="607">
        <v>755</v>
      </c>
      <c r="E116" s="608">
        <v>615000</v>
      </c>
      <c r="F116" s="710" t="s">
        <v>616</v>
      </c>
      <c r="G116" s="610"/>
      <c r="H116" s="610"/>
      <c r="I116" s="611" t="s">
        <v>44</v>
      </c>
      <c r="J116" s="616">
        <v>0</v>
      </c>
      <c r="K116" s="613">
        <v>75</v>
      </c>
      <c r="L116" s="616">
        <v>75</v>
      </c>
      <c r="M116" s="616">
        <v>62</v>
      </c>
      <c r="N116" s="614">
        <v>53.41</v>
      </c>
      <c r="O116" s="648"/>
      <c r="P116" s="648"/>
      <c r="R116" s="626"/>
      <c r="T116" s="633"/>
      <c r="U116" s="634"/>
    </row>
    <row r="117" spans="2:21" ht="28">
      <c r="B117" s="606" t="s">
        <v>886</v>
      </c>
      <c r="C117" s="654">
        <v>11</v>
      </c>
      <c r="D117" s="607">
        <v>780</v>
      </c>
      <c r="E117" s="608">
        <v>615000</v>
      </c>
      <c r="F117" s="710" t="s">
        <v>1940</v>
      </c>
      <c r="G117" s="610"/>
      <c r="H117" s="610"/>
      <c r="I117" s="611" t="s">
        <v>44</v>
      </c>
      <c r="J117" s="616">
        <v>97</v>
      </c>
      <c r="K117" s="613">
        <v>84</v>
      </c>
      <c r="L117" s="616">
        <v>84</v>
      </c>
      <c r="M117" s="616">
        <v>84</v>
      </c>
      <c r="N117" s="614">
        <v>95.512630000000001</v>
      </c>
      <c r="O117" s="648"/>
      <c r="P117" s="648"/>
      <c r="R117" s="626"/>
      <c r="T117" s="633"/>
      <c r="U117" s="634"/>
    </row>
    <row r="118" spans="2:21" ht="19.149999999999999" customHeight="1">
      <c r="B118" s="606" t="s">
        <v>886</v>
      </c>
      <c r="C118" s="655">
        <v>11</v>
      </c>
      <c r="D118" s="615">
        <v>781</v>
      </c>
      <c r="E118" s="608">
        <v>615000</v>
      </c>
      <c r="F118" s="609" t="s">
        <v>727</v>
      </c>
      <c r="G118" s="610"/>
      <c r="H118" s="610"/>
      <c r="I118" s="611" t="s">
        <v>44</v>
      </c>
      <c r="J118" s="616">
        <v>175</v>
      </c>
      <c r="K118" s="613">
        <v>144</v>
      </c>
      <c r="L118" s="616">
        <v>144</v>
      </c>
      <c r="M118" s="616">
        <v>124</v>
      </c>
      <c r="N118" s="614">
        <v>122.18388</v>
      </c>
      <c r="O118" s="648"/>
      <c r="P118" s="648"/>
      <c r="R118" s="626"/>
      <c r="T118" s="633"/>
      <c r="U118" s="634"/>
    </row>
    <row r="119" spans="2:21" ht="19.149999999999999" customHeight="1">
      <c r="B119" s="606" t="s">
        <v>886</v>
      </c>
      <c r="C119" s="654">
        <v>11</v>
      </c>
      <c r="D119" s="607">
        <v>782</v>
      </c>
      <c r="E119" s="608">
        <v>615000</v>
      </c>
      <c r="F119" s="609" t="s">
        <v>813</v>
      </c>
      <c r="G119" s="610"/>
      <c r="H119" s="610"/>
      <c r="I119" s="611" t="s">
        <v>44</v>
      </c>
      <c r="J119" s="616">
        <v>33</v>
      </c>
      <c r="K119" s="613">
        <v>35</v>
      </c>
      <c r="L119" s="616">
        <v>35</v>
      </c>
      <c r="M119" s="616">
        <v>35</v>
      </c>
      <c r="N119" s="614">
        <v>21.605</v>
      </c>
      <c r="O119" s="648"/>
      <c r="P119" s="648"/>
      <c r="R119" s="626"/>
      <c r="T119" s="633"/>
      <c r="U119" s="634"/>
    </row>
    <row r="120" spans="2:21" ht="19.149999999999999" customHeight="1">
      <c r="B120" s="606" t="s">
        <v>886</v>
      </c>
      <c r="C120" s="654">
        <v>11</v>
      </c>
      <c r="D120" s="607">
        <v>783</v>
      </c>
      <c r="E120" s="608">
        <v>615000</v>
      </c>
      <c r="F120" s="710" t="s">
        <v>1781</v>
      </c>
      <c r="G120" s="610"/>
      <c r="H120" s="610"/>
      <c r="I120" s="611" t="s">
        <v>175</v>
      </c>
      <c r="J120" s="616">
        <v>87</v>
      </c>
      <c r="K120" s="613">
        <v>60</v>
      </c>
      <c r="L120" s="616">
        <v>87</v>
      </c>
      <c r="M120" s="616">
        <v>87</v>
      </c>
      <c r="N120" s="614">
        <v>44.063000000000002</v>
      </c>
      <c r="O120" s="648"/>
      <c r="P120" s="648"/>
      <c r="R120" s="626"/>
      <c r="T120" s="633"/>
      <c r="U120" s="634"/>
    </row>
    <row r="121" spans="2:21" ht="18.649999999999999" customHeight="1">
      <c r="B121" s="606" t="s">
        <v>886</v>
      </c>
      <c r="C121" s="655">
        <v>11</v>
      </c>
      <c r="D121" s="615">
        <v>785</v>
      </c>
      <c r="E121" s="608">
        <v>615000</v>
      </c>
      <c r="F121" s="703" t="s">
        <v>2105</v>
      </c>
      <c r="G121" s="610"/>
      <c r="H121" s="610"/>
      <c r="I121" s="611" t="s">
        <v>44</v>
      </c>
      <c r="J121" s="616">
        <v>28</v>
      </c>
      <c r="K121" s="613">
        <v>30</v>
      </c>
      <c r="L121" s="616">
        <v>0</v>
      </c>
      <c r="M121" s="616">
        <v>30</v>
      </c>
      <c r="N121" s="614">
        <v>0</v>
      </c>
      <c r="O121" s="648"/>
      <c r="P121" s="648"/>
      <c r="R121" s="626"/>
      <c r="T121" s="633"/>
      <c r="U121" s="634"/>
    </row>
    <row r="122" spans="2:21" ht="19.149999999999999" customHeight="1">
      <c r="B122" s="606" t="s">
        <v>886</v>
      </c>
      <c r="C122" s="654">
        <v>11</v>
      </c>
      <c r="D122" s="607">
        <v>930</v>
      </c>
      <c r="E122" s="608">
        <v>615000</v>
      </c>
      <c r="F122" s="609" t="s">
        <v>611</v>
      </c>
      <c r="G122" s="610"/>
      <c r="H122" s="610"/>
      <c r="I122" s="611" t="s">
        <v>44</v>
      </c>
      <c r="J122" s="616">
        <v>17</v>
      </c>
      <c r="K122" s="613">
        <v>18</v>
      </c>
      <c r="L122" s="616">
        <v>18</v>
      </c>
      <c r="M122" s="616">
        <v>18</v>
      </c>
      <c r="N122" s="614">
        <v>11.86261</v>
      </c>
      <c r="O122" s="648"/>
      <c r="P122" s="648"/>
      <c r="R122" s="626"/>
      <c r="T122" s="633"/>
      <c r="U122" s="634"/>
    </row>
    <row r="123" spans="2:21" ht="19.149999999999999" customHeight="1">
      <c r="B123" s="606" t="s">
        <v>886</v>
      </c>
      <c r="C123" s="655">
        <v>11</v>
      </c>
      <c r="D123" s="615">
        <v>960</v>
      </c>
      <c r="E123" s="608">
        <v>615000</v>
      </c>
      <c r="F123" s="609" t="s">
        <v>902</v>
      </c>
      <c r="G123" s="610"/>
      <c r="H123" s="610"/>
      <c r="I123" s="611" t="s">
        <v>44</v>
      </c>
      <c r="J123" s="616">
        <v>8</v>
      </c>
      <c r="K123" s="613">
        <v>8</v>
      </c>
      <c r="L123" s="616">
        <v>8</v>
      </c>
      <c r="M123" s="616">
        <v>10</v>
      </c>
      <c r="N123" s="614">
        <v>6.7831099999999998</v>
      </c>
      <c r="O123" s="648"/>
      <c r="P123" s="648"/>
      <c r="R123" s="626"/>
      <c r="T123" s="633"/>
      <c r="U123" s="634"/>
    </row>
    <row r="124" spans="2:21" ht="19.149999999999999" customHeight="1">
      <c r="B124" s="711"/>
      <c r="C124" s="712"/>
      <c r="D124" s="713"/>
      <c r="E124" s="714" t="s">
        <v>283</v>
      </c>
      <c r="F124" s="721" t="s">
        <v>475</v>
      </c>
      <c r="G124" s="716">
        <f>SUM(G102:G123)</f>
        <v>15.55</v>
      </c>
      <c r="H124" s="716">
        <f>SUM(H102:H123)</f>
        <v>14.200633333333336</v>
      </c>
      <c r="I124" s="717"/>
      <c r="J124" s="718">
        <f>SUM(J102:J123)</f>
        <v>5821</v>
      </c>
      <c r="K124" s="719">
        <f>SUM(K102:K123)</f>
        <v>5741</v>
      </c>
      <c r="L124" s="718">
        <f>SUM(L102:L123)</f>
        <v>5823</v>
      </c>
      <c r="M124" s="718">
        <f>SUM(M102:M123)</f>
        <v>6118</v>
      </c>
      <c r="N124" s="720">
        <f>SUM(N102:N123)</f>
        <v>5323.3112099999998</v>
      </c>
      <c r="O124" s="648"/>
      <c r="P124" s="648"/>
      <c r="R124" s="626"/>
      <c r="T124" s="633"/>
      <c r="U124" s="632"/>
    </row>
    <row r="125" spans="2:21" ht="19.149999999999999" customHeight="1">
      <c r="B125" s="704"/>
      <c r="C125" s="684"/>
      <c r="D125" s="705"/>
      <c r="E125" s="695" t="s">
        <v>476</v>
      </c>
      <c r="F125" s="687" t="s">
        <v>78</v>
      </c>
      <c r="G125" s="706"/>
      <c r="H125" s="706"/>
      <c r="I125" s="707"/>
      <c r="J125" s="690"/>
      <c r="K125" s="693"/>
      <c r="L125" s="690"/>
      <c r="M125" s="690"/>
      <c r="N125" s="708"/>
      <c r="O125" s="648"/>
      <c r="P125" s="648"/>
      <c r="R125" s="626"/>
      <c r="T125" s="633"/>
      <c r="U125" s="632"/>
    </row>
    <row r="126" spans="2:21" ht="19.149999999999999" customHeight="1">
      <c r="B126" s="606" t="s">
        <v>78</v>
      </c>
      <c r="C126" s="655">
        <v>10</v>
      </c>
      <c r="D126" s="615">
        <v>100</v>
      </c>
      <c r="E126" s="608">
        <v>616000</v>
      </c>
      <c r="F126" s="609" t="s">
        <v>848</v>
      </c>
      <c r="G126" s="610">
        <v>16</v>
      </c>
      <c r="H126" s="610">
        <v>14</v>
      </c>
      <c r="I126" s="611" t="s">
        <v>669</v>
      </c>
      <c r="J126" s="616">
        <f>3297+140+130</f>
        <v>3567</v>
      </c>
      <c r="K126" s="613">
        <v>3223</v>
      </c>
      <c r="L126" s="616">
        <v>3223</v>
      </c>
      <c r="M126" s="616">
        <v>3288</v>
      </c>
      <c r="N126" s="614">
        <v>3012.12446</v>
      </c>
      <c r="O126" s="648"/>
      <c r="P126" s="648"/>
      <c r="R126" s="626"/>
      <c r="T126" s="633"/>
      <c r="U126" s="634"/>
    </row>
    <row r="127" spans="2:21" ht="19.149999999999999" customHeight="1">
      <c r="B127" s="606" t="s">
        <v>78</v>
      </c>
      <c r="C127" s="654">
        <v>2</v>
      </c>
      <c r="D127" s="607">
        <v>410</v>
      </c>
      <c r="E127" s="608">
        <v>616000</v>
      </c>
      <c r="F127" s="609" t="s">
        <v>811</v>
      </c>
      <c r="G127" s="610"/>
      <c r="H127" s="610"/>
      <c r="I127" s="611" t="s">
        <v>175</v>
      </c>
      <c r="J127" s="616">
        <v>138</v>
      </c>
      <c r="K127" s="613">
        <v>110</v>
      </c>
      <c r="L127" s="616">
        <v>110</v>
      </c>
      <c r="M127" s="616">
        <v>0</v>
      </c>
      <c r="N127" s="614">
        <v>0</v>
      </c>
      <c r="O127" s="648"/>
      <c r="P127" s="648"/>
      <c r="R127" s="626"/>
      <c r="T127" s="633"/>
      <c r="U127" s="634"/>
    </row>
    <row r="128" spans="2:21" ht="19.149999999999999" customHeight="1">
      <c r="B128" s="606" t="s">
        <v>78</v>
      </c>
      <c r="C128" s="654">
        <v>10</v>
      </c>
      <c r="D128" s="607">
        <v>511</v>
      </c>
      <c r="E128" s="608">
        <v>616000</v>
      </c>
      <c r="F128" s="609" t="s">
        <v>1682</v>
      </c>
      <c r="G128" s="610"/>
      <c r="H128" s="610"/>
      <c r="I128" s="611" t="s">
        <v>44</v>
      </c>
      <c r="J128" s="616">
        <v>6</v>
      </c>
      <c r="K128" s="613">
        <v>6</v>
      </c>
      <c r="L128" s="616">
        <v>6</v>
      </c>
      <c r="M128" s="616">
        <v>6</v>
      </c>
      <c r="N128" s="614">
        <v>4.9999899999999995</v>
      </c>
      <c r="O128" s="648"/>
      <c r="P128" s="648"/>
      <c r="R128" s="626"/>
      <c r="T128" s="633"/>
      <c r="U128" s="634"/>
    </row>
    <row r="129" spans="2:21" ht="19.149999999999999" customHeight="1">
      <c r="B129" s="606" t="s">
        <v>78</v>
      </c>
      <c r="C129" s="654">
        <v>5</v>
      </c>
      <c r="D129" s="607">
        <v>530</v>
      </c>
      <c r="E129" s="608">
        <v>616000</v>
      </c>
      <c r="F129" s="609" t="s">
        <v>1549</v>
      </c>
      <c r="G129" s="610"/>
      <c r="H129" s="610"/>
      <c r="I129" s="611" t="s">
        <v>175</v>
      </c>
      <c r="J129" s="616">
        <v>60</v>
      </c>
      <c r="K129" s="613">
        <v>60</v>
      </c>
      <c r="L129" s="616">
        <v>60</v>
      </c>
      <c r="M129" s="616">
        <v>60</v>
      </c>
      <c r="N129" s="614">
        <v>56.347999999999999</v>
      </c>
      <c r="O129" s="648"/>
      <c r="P129" s="648"/>
      <c r="R129" s="626"/>
      <c r="T129" s="633"/>
      <c r="U129" s="634"/>
    </row>
    <row r="130" spans="2:21" ht="19.149999999999999" customHeight="1">
      <c r="B130" s="606" t="s">
        <v>78</v>
      </c>
      <c r="C130" s="654">
        <v>10</v>
      </c>
      <c r="D130" s="607">
        <v>540</v>
      </c>
      <c r="E130" s="608">
        <v>616000</v>
      </c>
      <c r="F130" s="609" t="s">
        <v>1648</v>
      </c>
      <c r="G130" s="610"/>
      <c r="H130" s="610"/>
      <c r="I130" s="611" t="s">
        <v>175</v>
      </c>
      <c r="J130" s="616">
        <v>24</v>
      </c>
      <c r="K130" s="613">
        <v>24</v>
      </c>
      <c r="L130" s="616">
        <v>20</v>
      </c>
      <c r="M130" s="616">
        <v>20</v>
      </c>
      <c r="N130" s="614">
        <v>22.619810000000001</v>
      </c>
      <c r="O130" s="648"/>
      <c r="P130" s="648"/>
      <c r="R130" s="626"/>
      <c r="T130" s="633"/>
      <c r="U130" s="634"/>
    </row>
    <row r="131" spans="2:21" ht="19.149999999999999" customHeight="1">
      <c r="B131" s="606" t="s">
        <v>78</v>
      </c>
      <c r="C131" s="655">
        <v>10</v>
      </c>
      <c r="D131" s="615">
        <v>570</v>
      </c>
      <c r="E131" s="608">
        <v>616000</v>
      </c>
      <c r="F131" s="703" t="s">
        <v>526</v>
      </c>
      <c r="G131" s="610"/>
      <c r="H131" s="610"/>
      <c r="I131" s="611" t="s">
        <v>175</v>
      </c>
      <c r="J131" s="616">
        <v>535</v>
      </c>
      <c r="K131" s="613">
        <v>535</v>
      </c>
      <c r="L131" s="616">
        <v>535</v>
      </c>
      <c r="M131" s="616">
        <v>560</v>
      </c>
      <c r="N131" s="614">
        <v>837.87424999999996</v>
      </c>
      <c r="O131" s="648"/>
      <c r="P131" s="648"/>
      <c r="R131" s="626"/>
      <c r="T131" s="633"/>
      <c r="U131" s="634"/>
    </row>
    <row r="132" spans="2:21" ht="19.149999999999999" customHeight="1">
      <c r="B132" s="606" t="s">
        <v>78</v>
      </c>
      <c r="C132" s="654">
        <v>10</v>
      </c>
      <c r="D132" s="607">
        <v>571</v>
      </c>
      <c r="E132" s="608">
        <v>616000</v>
      </c>
      <c r="F132" s="703" t="s">
        <v>1336</v>
      </c>
      <c r="G132" s="610"/>
      <c r="H132" s="610"/>
      <c r="I132" s="611" t="s">
        <v>175</v>
      </c>
      <c r="J132" s="616">
        <v>580</v>
      </c>
      <c r="K132" s="613">
        <v>590</v>
      </c>
      <c r="L132" s="616">
        <v>580</v>
      </c>
      <c r="M132" s="616">
        <v>580</v>
      </c>
      <c r="N132" s="614">
        <v>579.44507999999996</v>
      </c>
      <c r="O132" s="648"/>
      <c r="P132" s="648"/>
      <c r="R132" s="626"/>
      <c r="T132" s="633"/>
      <c r="U132" s="634"/>
    </row>
    <row r="133" spans="2:21" ht="19.149999999999999" customHeight="1">
      <c r="B133" s="606" t="s">
        <v>78</v>
      </c>
      <c r="C133" s="654">
        <v>10</v>
      </c>
      <c r="D133" s="607">
        <v>572</v>
      </c>
      <c r="E133" s="608">
        <v>616000</v>
      </c>
      <c r="F133" s="609" t="s">
        <v>1638</v>
      </c>
      <c r="G133" s="610"/>
      <c r="H133" s="610"/>
      <c r="I133" s="611" t="s">
        <v>175</v>
      </c>
      <c r="J133" s="612">
        <v>1243</v>
      </c>
      <c r="K133" s="613">
        <v>1269</v>
      </c>
      <c r="L133" s="612">
        <v>1247</v>
      </c>
      <c r="M133" s="612">
        <v>1047</v>
      </c>
      <c r="N133" s="614">
        <v>913.51787999999999</v>
      </c>
      <c r="O133" s="648"/>
      <c r="P133" s="648"/>
      <c r="R133" s="626"/>
      <c r="T133" s="633"/>
      <c r="U133" s="635"/>
    </row>
    <row r="134" spans="2:21" ht="19.149999999999999" customHeight="1">
      <c r="B134" s="606" t="s">
        <v>78</v>
      </c>
      <c r="C134" s="655">
        <v>10</v>
      </c>
      <c r="D134" s="615">
        <v>573</v>
      </c>
      <c r="E134" s="608">
        <v>616000</v>
      </c>
      <c r="F134" s="609" t="s">
        <v>416</v>
      </c>
      <c r="G134" s="610"/>
      <c r="H134" s="610"/>
      <c r="I134" s="611" t="s">
        <v>44</v>
      </c>
      <c r="J134" s="612">
        <v>190</v>
      </c>
      <c r="K134" s="613">
        <v>100</v>
      </c>
      <c r="L134" s="612">
        <v>100</v>
      </c>
      <c r="M134" s="612">
        <v>200</v>
      </c>
      <c r="N134" s="614">
        <v>86.71575</v>
      </c>
      <c r="O134" s="648"/>
      <c r="P134" s="648"/>
      <c r="R134" s="626"/>
      <c r="T134" s="633"/>
      <c r="U134" s="635"/>
    </row>
    <row r="135" spans="2:21" ht="19.149999999999999" customHeight="1">
      <c r="B135" s="606" t="s">
        <v>78</v>
      </c>
      <c r="C135" s="654">
        <v>10</v>
      </c>
      <c r="D135" s="607">
        <v>574</v>
      </c>
      <c r="E135" s="608">
        <v>616000</v>
      </c>
      <c r="F135" s="609" t="s">
        <v>210</v>
      </c>
      <c r="G135" s="610"/>
      <c r="H135" s="610"/>
      <c r="I135" s="611" t="s">
        <v>175</v>
      </c>
      <c r="J135" s="612">
        <v>140</v>
      </c>
      <c r="K135" s="613">
        <v>140</v>
      </c>
      <c r="L135" s="612">
        <v>158</v>
      </c>
      <c r="M135" s="612">
        <v>158</v>
      </c>
      <c r="N135" s="614">
        <v>122.78278999999999</v>
      </c>
      <c r="O135" s="648"/>
      <c r="P135" s="648"/>
      <c r="R135" s="626"/>
      <c r="T135" s="633"/>
      <c r="U135" s="635"/>
    </row>
    <row r="136" spans="2:21" ht="19.149999999999999" customHeight="1">
      <c r="B136" s="606" t="s">
        <v>78</v>
      </c>
      <c r="C136" s="654">
        <v>10</v>
      </c>
      <c r="D136" s="607">
        <v>750</v>
      </c>
      <c r="E136" s="608">
        <v>616000</v>
      </c>
      <c r="F136" s="609" t="s">
        <v>1960</v>
      </c>
      <c r="G136" s="610"/>
      <c r="H136" s="610"/>
      <c r="I136" s="722" t="s">
        <v>175</v>
      </c>
      <c r="J136" s="616">
        <v>200</v>
      </c>
      <c r="K136" s="613">
        <v>200</v>
      </c>
      <c r="L136" s="616">
        <v>200</v>
      </c>
      <c r="M136" s="616">
        <v>200</v>
      </c>
      <c r="N136" s="614">
        <v>187.88758999999999</v>
      </c>
      <c r="O136" s="648"/>
      <c r="P136" s="648"/>
      <c r="R136" s="626"/>
      <c r="T136" s="633"/>
      <c r="U136" s="634"/>
    </row>
    <row r="137" spans="2:21" ht="19.149999999999999" customHeight="1">
      <c r="B137" s="606" t="s">
        <v>78</v>
      </c>
      <c r="C137" s="655">
        <v>10</v>
      </c>
      <c r="D137" s="615">
        <v>781</v>
      </c>
      <c r="E137" s="608">
        <v>616000</v>
      </c>
      <c r="F137" s="609" t="s">
        <v>1922</v>
      </c>
      <c r="G137" s="610"/>
      <c r="H137" s="610"/>
      <c r="I137" s="722" t="s">
        <v>44</v>
      </c>
      <c r="J137" s="616">
        <v>190</v>
      </c>
      <c r="K137" s="613">
        <v>155</v>
      </c>
      <c r="L137" s="616">
        <v>175</v>
      </c>
      <c r="M137" s="616">
        <v>200</v>
      </c>
      <c r="N137" s="614">
        <v>146.56899999999999</v>
      </c>
      <c r="O137" s="648"/>
      <c r="P137" s="648"/>
      <c r="R137" s="626"/>
      <c r="T137" s="633"/>
      <c r="U137" s="634"/>
    </row>
    <row r="138" spans="2:21" ht="19.149999999999999" customHeight="1">
      <c r="B138" s="606" t="s">
        <v>78</v>
      </c>
      <c r="C138" s="655">
        <v>10</v>
      </c>
      <c r="D138" s="615">
        <v>930</v>
      </c>
      <c r="E138" s="608">
        <v>616000</v>
      </c>
      <c r="F138" s="609" t="s">
        <v>601</v>
      </c>
      <c r="G138" s="610"/>
      <c r="H138" s="610"/>
      <c r="I138" s="611" t="s">
        <v>44</v>
      </c>
      <c r="J138" s="612">
        <v>482</v>
      </c>
      <c r="K138" s="613">
        <v>470</v>
      </c>
      <c r="L138" s="612">
        <v>432</v>
      </c>
      <c r="M138" s="612">
        <v>450</v>
      </c>
      <c r="N138" s="614">
        <v>570.78806000000009</v>
      </c>
      <c r="O138" s="648"/>
      <c r="P138" s="648"/>
      <c r="R138" s="626"/>
      <c r="T138" s="633"/>
      <c r="U138" s="635"/>
    </row>
    <row r="139" spans="2:21" ht="19.149999999999999" customHeight="1">
      <c r="B139" s="606" t="s">
        <v>78</v>
      </c>
      <c r="C139" s="655">
        <v>10</v>
      </c>
      <c r="D139" s="615">
        <v>960</v>
      </c>
      <c r="E139" s="608">
        <v>616000</v>
      </c>
      <c r="F139" s="609" t="s">
        <v>322</v>
      </c>
      <c r="G139" s="610"/>
      <c r="H139" s="610"/>
      <c r="I139" s="611" t="s">
        <v>44</v>
      </c>
      <c r="J139" s="616">
        <v>80</v>
      </c>
      <c r="K139" s="613">
        <v>80</v>
      </c>
      <c r="L139" s="616">
        <v>80</v>
      </c>
      <c r="M139" s="616">
        <v>100</v>
      </c>
      <c r="N139" s="614">
        <v>59.52919</v>
      </c>
      <c r="O139" s="648"/>
      <c r="P139" s="648"/>
      <c r="R139" s="626"/>
      <c r="T139" s="633"/>
      <c r="U139" s="634"/>
    </row>
    <row r="140" spans="2:21" ht="19.149999999999999" customHeight="1">
      <c r="B140" s="606" t="s">
        <v>78</v>
      </c>
      <c r="C140" s="654">
        <v>10</v>
      </c>
      <c r="D140" s="607">
        <v>980</v>
      </c>
      <c r="E140" s="608">
        <v>616000</v>
      </c>
      <c r="F140" s="609" t="s">
        <v>2082</v>
      </c>
      <c r="G140" s="610"/>
      <c r="H140" s="610"/>
      <c r="I140" s="611" t="s">
        <v>44</v>
      </c>
      <c r="J140" s="616">
        <v>0</v>
      </c>
      <c r="K140" s="613">
        <v>128</v>
      </c>
      <c r="L140" s="616">
        <v>128</v>
      </c>
      <c r="M140" s="616">
        <v>0</v>
      </c>
      <c r="N140" s="614">
        <v>0</v>
      </c>
      <c r="O140" s="648"/>
      <c r="P140" s="648"/>
      <c r="R140" s="626"/>
      <c r="T140" s="633"/>
      <c r="U140" s="634"/>
    </row>
    <row r="141" spans="2:21" ht="19.149999999999999" customHeight="1">
      <c r="B141" s="617"/>
      <c r="C141" s="656"/>
      <c r="D141" s="618"/>
      <c r="E141" s="619" t="s">
        <v>476</v>
      </c>
      <c r="F141" s="620" t="s">
        <v>938</v>
      </c>
      <c r="G141" s="621">
        <f>SUM(G125:G140)</f>
        <v>16</v>
      </c>
      <c r="H141" s="621">
        <f>SUM(H125:H140)</f>
        <v>14</v>
      </c>
      <c r="I141" s="622"/>
      <c r="J141" s="623">
        <f>SUM(J125:J140)</f>
        <v>7435</v>
      </c>
      <c r="K141" s="624">
        <f>SUM(K125:K140)</f>
        <v>7090</v>
      </c>
      <c r="L141" s="623">
        <f>SUM(L125:L140)</f>
        <v>7054</v>
      </c>
      <c r="M141" s="623">
        <f>SUM(M125:M140)</f>
        <v>6869</v>
      </c>
      <c r="N141" s="625">
        <f>SUM(N125:N140)</f>
        <v>6601.2018500000013</v>
      </c>
      <c r="O141" s="648"/>
      <c r="P141" s="648"/>
      <c r="R141" s="626"/>
      <c r="T141" s="633"/>
      <c r="U141" s="632"/>
    </row>
    <row r="142" spans="2:21" ht="19.149999999999999" customHeight="1">
      <c r="B142" s="704"/>
      <c r="C142" s="684"/>
      <c r="D142" s="705"/>
      <c r="E142" s="695" t="s">
        <v>939</v>
      </c>
      <c r="F142" s="687" t="s">
        <v>940</v>
      </c>
      <c r="G142" s="706"/>
      <c r="H142" s="706"/>
      <c r="I142" s="707"/>
      <c r="J142" s="690"/>
      <c r="K142" s="693"/>
      <c r="L142" s="690"/>
      <c r="M142" s="690"/>
      <c r="N142" s="708"/>
      <c r="O142" s="648"/>
      <c r="P142" s="648"/>
      <c r="R142" s="626"/>
      <c r="T142" s="633"/>
      <c r="U142" s="632"/>
    </row>
    <row r="143" spans="2:21" ht="19.149999999999999" customHeight="1">
      <c r="B143" s="606" t="s">
        <v>940</v>
      </c>
      <c r="C143" s="655">
        <v>1</v>
      </c>
      <c r="D143" s="615">
        <v>100</v>
      </c>
      <c r="E143" s="608">
        <v>617000</v>
      </c>
      <c r="F143" s="609" t="s">
        <v>1058</v>
      </c>
      <c r="G143" s="610">
        <v>9</v>
      </c>
      <c r="H143" s="610">
        <v>8.4277833333333323</v>
      </c>
      <c r="I143" s="611" t="s">
        <v>669</v>
      </c>
      <c r="J143" s="616">
        <v>2900</v>
      </c>
      <c r="K143" s="613">
        <v>2580</v>
      </c>
      <c r="L143" s="616">
        <v>2852</v>
      </c>
      <c r="M143" s="616">
        <v>2910</v>
      </c>
      <c r="N143" s="614">
        <v>2215.10142</v>
      </c>
      <c r="O143" s="648"/>
      <c r="P143" s="648"/>
      <c r="R143" s="626"/>
      <c r="T143" s="633"/>
      <c r="U143" s="634"/>
    </row>
    <row r="144" spans="2:21" ht="19.149999999999999" customHeight="1">
      <c r="B144" s="606" t="s">
        <v>940</v>
      </c>
      <c r="C144" s="654">
        <v>1</v>
      </c>
      <c r="D144" s="607">
        <v>522</v>
      </c>
      <c r="E144" s="608">
        <v>617000</v>
      </c>
      <c r="F144" s="609" t="s">
        <v>284</v>
      </c>
      <c r="G144" s="610"/>
      <c r="H144" s="610"/>
      <c r="I144" s="611" t="s">
        <v>44</v>
      </c>
      <c r="J144" s="616">
        <v>9</v>
      </c>
      <c r="K144" s="613">
        <v>9</v>
      </c>
      <c r="L144" s="616">
        <v>10</v>
      </c>
      <c r="M144" s="616">
        <v>10</v>
      </c>
      <c r="N144" s="614">
        <v>4.3295300000000001</v>
      </c>
      <c r="O144" s="648"/>
      <c r="P144" s="648"/>
      <c r="R144" s="626"/>
      <c r="T144" s="633"/>
      <c r="U144" s="634"/>
    </row>
    <row r="145" spans="2:21" ht="19.149999999999999" customHeight="1">
      <c r="B145" s="606" t="s">
        <v>940</v>
      </c>
      <c r="C145" s="654">
        <v>5</v>
      </c>
      <c r="D145" s="607">
        <v>530</v>
      </c>
      <c r="E145" s="608">
        <v>617000</v>
      </c>
      <c r="F145" s="609" t="s">
        <v>1550</v>
      </c>
      <c r="G145" s="610"/>
      <c r="H145" s="610"/>
      <c r="I145" s="611" t="s">
        <v>175</v>
      </c>
      <c r="J145" s="616">
        <v>76</v>
      </c>
      <c r="K145" s="613">
        <v>76</v>
      </c>
      <c r="L145" s="616">
        <v>70</v>
      </c>
      <c r="M145" s="616">
        <v>70</v>
      </c>
      <c r="N145" s="614">
        <v>74.744889999999998</v>
      </c>
      <c r="O145" s="648"/>
      <c r="P145" s="648"/>
      <c r="R145" s="626"/>
      <c r="T145" s="633"/>
      <c r="U145" s="634"/>
    </row>
    <row r="146" spans="2:21" ht="19.149999999999999" customHeight="1">
      <c r="B146" s="606" t="s">
        <v>940</v>
      </c>
      <c r="C146" s="654">
        <v>10</v>
      </c>
      <c r="D146" s="607">
        <v>540</v>
      </c>
      <c r="E146" s="608">
        <v>617000</v>
      </c>
      <c r="F146" s="609" t="s">
        <v>1648</v>
      </c>
      <c r="G146" s="610"/>
      <c r="H146" s="610"/>
      <c r="I146" s="611" t="s">
        <v>175</v>
      </c>
      <c r="J146" s="616">
        <v>10</v>
      </c>
      <c r="K146" s="613">
        <v>10</v>
      </c>
      <c r="L146" s="616">
        <v>10</v>
      </c>
      <c r="M146" s="616">
        <v>10</v>
      </c>
      <c r="N146" s="614">
        <v>9.0772000000000013</v>
      </c>
      <c r="O146" s="648"/>
      <c r="P146" s="648"/>
      <c r="R146" s="626"/>
      <c r="T146" s="633"/>
      <c r="U146" s="634"/>
    </row>
    <row r="147" spans="2:21" ht="19.149999999999999" customHeight="1">
      <c r="B147" s="606" t="s">
        <v>940</v>
      </c>
      <c r="C147" s="654">
        <v>1</v>
      </c>
      <c r="D147" s="607">
        <v>560</v>
      </c>
      <c r="E147" s="608">
        <v>617000</v>
      </c>
      <c r="F147" s="609" t="s">
        <v>1019</v>
      </c>
      <c r="G147" s="610"/>
      <c r="H147" s="610"/>
      <c r="I147" s="611" t="s">
        <v>44</v>
      </c>
      <c r="J147" s="616">
        <v>37</v>
      </c>
      <c r="K147" s="613">
        <v>25</v>
      </c>
      <c r="L147" s="616">
        <v>37</v>
      </c>
      <c r="M147" s="616">
        <v>37</v>
      </c>
      <c r="N147" s="614">
        <v>15.441360000000001</v>
      </c>
      <c r="O147" s="648"/>
      <c r="P147" s="648"/>
      <c r="R147" s="626"/>
      <c r="T147" s="633"/>
      <c r="U147" s="634"/>
    </row>
    <row r="148" spans="2:21" ht="19.149999999999999" customHeight="1">
      <c r="B148" s="606" t="s">
        <v>940</v>
      </c>
      <c r="C148" s="654">
        <v>1</v>
      </c>
      <c r="D148" s="607">
        <v>562</v>
      </c>
      <c r="E148" s="608">
        <v>617000</v>
      </c>
      <c r="F148" s="609" t="s">
        <v>1680</v>
      </c>
      <c r="G148" s="610"/>
      <c r="H148" s="610"/>
      <c r="I148" s="611" t="s">
        <v>44</v>
      </c>
      <c r="J148" s="616">
        <v>5</v>
      </c>
      <c r="K148" s="613">
        <v>5</v>
      </c>
      <c r="L148" s="616">
        <v>5</v>
      </c>
      <c r="M148" s="616">
        <v>5</v>
      </c>
      <c r="N148" s="614">
        <v>0.85099999999999998</v>
      </c>
      <c r="O148" s="648"/>
      <c r="P148" s="648"/>
      <c r="R148" s="626"/>
      <c r="T148" s="633"/>
      <c r="U148" s="634"/>
    </row>
    <row r="149" spans="2:21" ht="19.149999999999999" customHeight="1">
      <c r="B149" s="606" t="s">
        <v>940</v>
      </c>
      <c r="C149" s="654">
        <v>10</v>
      </c>
      <c r="D149" s="607">
        <v>570</v>
      </c>
      <c r="E149" s="608">
        <v>617000</v>
      </c>
      <c r="F149" s="609" t="s">
        <v>120</v>
      </c>
      <c r="G149" s="610"/>
      <c r="H149" s="610"/>
      <c r="I149" s="611" t="s">
        <v>175</v>
      </c>
      <c r="J149" s="616">
        <v>5</v>
      </c>
      <c r="K149" s="613">
        <v>5</v>
      </c>
      <c r="L149" s="616">
        <v>5</v>
      </c>
      <c r="M149" s="616">
        <v>5</v>
      </c>
      <c r="N149" s="614">
        <v>4.8851000000000004</v>
      </c>
      <c r="O149" s="648"/>
      <c r="P149" s="648"/>
      <c r="R149" s="626"/>
      <c r="T149" s="633"/>
      <c r="U149" s="634"/>
    </row>
    <row r="150" spans="2:21" ht="19.149999999999999" customHeight="1">
      <c r="B150" s="606" t="s">
        <v>940</v>
      </c>
      <c r="C150" s="654">
        <v>1</v>
      </c>
      <c r="D150" s="607">
        <v>581</v>
      </c>
      <c r="E150" s="608">
        <v>617000</v>
      </c>
      <c r="F150" s="609" t="s">
        <v>941</v>
      </c>
      <c r="G150" s="610"/>
      <c r="H150" s="610"/>
      <c r="I150" s="611" t="s">
        <v>175</v>
      </c>
      <c r="J150" s="616">
        <v>200</v>
      </c>
      <c r="K150" s="613">
        <v>200</v>
      </c>
      <c r="L150" s="616">
        <v>200</v>
      </c>
      <c r="M150" s="616">
        <v>200</v>
      </c>
      <c r="N150" s="614">
        <v>-9.3915000000000006</v>
      </c>
      <c r="O150" s="648"/>
      <c r="P150" s="648"/>
      <c r="R150" s="626"/>
      <c r="T150" s="633"/>
      <c r="U150" s="634"/>
    </row>
    <row r="151" spans="2:21" ht="19.149999999999999" customHeight="1">
      <c r="B151" s="606" t="s">
        <v>940</v>
      </c>
      <c r="C151" s="654">
        <v>5</v>
      </c>
      <c r="D151" s="607">
        <v>742</v>
      </c>
      <c r="E151" s="608">
        <v>617000</v>
      </c>
      <c r="F151" s="710" t="s">
        <v>609</v>
      </c>
      <c r="G151" s="610"/>
      <c r="H151" s="610"/>
      <c r="I151" s="611" t="s">
        <v>175</v>
      </c>
      <c r="J151" s="616">
        <v>3</v>
      </c>
      <c r="K151" s="613">
        <v>3</v>
      </c>
      <c r="L151" s="616">
        <v>3</v>
      </c>
      <c r="M151" s="616">
        <v>3</v>
      </c>
      <c r="N151" s="614">
        <v>0.99436000000000002</v>
      </c>
      <c r="O151" s="648"/>
      <c r="P151" s="648"/>
      <c r="R151" s="626"/>
      <c r="T151" s="633"/>
      <c r="U151" s="634"/>
    </row>
    <row r="152" spans="2:21" ht="19.149999999999999" customHeight="1">
      <c r="B152" s="606" t="s">
        <v>940</v>
      </c>
      <c r="C152" s="654">
        <v>1</v>
      </c>
      <c r="D152" s="607">
        <v>750</v>
      </c>
      <c r="E152" s="608">
        <v>617000</v>
      </c>
      <c r="F152" s="609" t="s">
        <v>942</v>
      </c>
      <c r="G152" s="610"/>
      <c r="H152" s="610"/>
      <c r="I152" s="611" t="s">
        <v>175</v>
      </c>
      <c r="J152" s="616">
        <f>2400-400</f>
        <v>2000</v>
      </c>
      <c r="K152" s="613">
        <v>2600</v>
      </c>
      <c r="L152" s="616">
        <v>2400</v>
      </c>
      <c r="M152" s="616">
        <v>2400</v>
      </c>
      <c r="N152" s="614">
        <v>2492.0397799999996</v>
      </c>
      <c r="O152" s="648"/>
      <c r="P152" s="648"/>
      <c r="R152" s="626"/>
      <c r="T152" s="633"/>
      <c r="U152" s="634"/>
    </row>
    <row r="153" spans="2:21" ht="19.149999999999999" customHeight="1">
      <c r="B153" s="606" t="s">
        <v>940</v>
      </c>
      <c r="C153" s="655">
        <v>1</v>
      </c>
      <c r="D153" s="615">
        <v>751</v>
      </c>
      <c r="E153" s="608">
        <v>617000</v>
      </c>
      <c r="F153" s="609" t="s">
        <v>186</v>
      </c>
      <c r="G153" s="610"/>
      <c r="H153" s="610"/>
      <c r="I153" s="611" t="s">
        <v>44</v>
      </c>
      <c r="J153" s="616">
        <v>8</v>
      </c>
      <c r="K153" s="613">
        <v>0</v>
      </c>
      <c r="L153" s="616">
        <v>6</v>
      </c>
      <c r="M153" s="616">
        <v>10</v>
      </c>
      <c r="N153" s="614">
        <v>0</v>
      </c>
      <c r="O153" s="648"/>
      <c r="P153" s="648"/>
      <c r="R153" s="626"/>
      <c r="T153" s="633"/>
      <c r="U153" s="634"/>
    </row>
    <row r="154" spans="2:21" ht="19.149999999999999" customHeight="1">
      <c r="B154" s="606" t="s">
        <v>940</v>
      </c>
      <c r="C154" s="654">
        <v>1</v>
      </c>
      <c r="D154" s="607">
        <v>930</v>
      </c>
      <c r="E154" s="608">
        <v>617000</v>
      </c>
      <c r="F154" s="609" t="s">
        <v>611</v>
      </c>
      <c r="G154" s="610"/>
      <c r="H154" s="610"/>
      <c r="I154" s="611" t="s">
        <v>44</v>
      </c>
      <c r="J154" s="616">
        <v>8</v>
      </c>
      <c r="K154" s="613">
        <v>8</v>
      </c>
      <c r="L154" s="616">
        <v>8</v>
      </c>
      <c r="M154" s="616">
        <v>8</v>
      </c>
      <c r="N154" s="614">
        <v>1.6263099999999999</v>
      </c>
      <c r="O154" s="648"/>
      <c r="P154" s="648"/>
      <c r="R154" s="626"/>
      <c r="T154" s="633"/>
      <c r="U154" s="634"/>
    </row>
    <row r="155" spans="2:21" ht="19.149999999999999" customHeight="1">
      <c r="B155" s="617"/>
      <c r="C155" s="656"/>
      <c r="D155" s="618"/>
      <c r="E155" s="619" t="s">
        <v>939</v>
      </c>
      <c r="F155" s="620" t="s">
        <v>187</v>
      </c>
      <c r="G155" s="621">
        <f>SUM(G143:G154)</f>
        <v>9</v>
      </c>
      <c r="H155" s="621">
        <f>SUM(H143:H154)</f>
        <v>8.4277833333333323</v>
      </c>
      <c r="I155" s="622"/>
      <c r="J155" s="623">
        <f>SUM(J143:J154)</f>
        <v>5261</v>
      </c>
      <c r="K155" s="624">
        <f>SUM(K143:K154)</f>
        <v>5521</v>
      </c>
      <c r="L155" s="623">
        <f>SUM(L143:L154)</f>
        <v>5606</v>
      </c>
      <c r="M155" s="623">
        <f>SUM(M143:M154)</f>
        <v>5668</v>
      </c>
      <c r="N155" s="625">
        <f>SUM(N143:N154)</f>
        <v>4809.6994499999992</v>
      </c>
      <c r="O155" s="648"/>
      <c r="P155" s="648"/>
      <c r="R155" s="626"/>
      <c r="T155" s="633"/>
      <c r="U155" s="632"/>
    </row>
    <row r="156" spans="2:21" ht="19.149999999999999" customHeight="1">
      <c r="B156" s="617"/>
      <c r="C156" s="656"/>
      <c r="D156" s="618"/>
      <c r="E156" s="619" t="s">
        <v>755</v>
      </c>
      <c r="F156" s="620" t="s">
        <v>188</v>
      </c>
      <c r="G156" s="621">
        <f>SUMIF($E$5:$E$155,"*.",G5:G155)</f>
        <v>106.66</v>
      </c>
      <c r="H156" s="621">
        <f>SUMIF($E$5:$E$155,"*.",H5:H155)</f>
        <v>97.567716666666669</v>
      </c>
      <c r="I156" s="622"/>
      <c r="J156" s="623">
        <f>SUMIF($E$5:$E$155,"*.",J5:J155)</f>
        <v>43824</v>
      </c>
      <c r="K156" s="624">
        <f>SUMIF($E$5:$E$155,"*.",K5:K155)</f>
        <v>40273</v>
      </c>
      <c r="L156" s="623">
        <f>SUMIF($E$5:$E$155,"*.",L5:L155)</f>
        <v>42248</v>
      </c>
      <c r="M156" s="623">
        <f>SUMIF($E$5:$E$155,"*.",M5:M155)</f>
        <v>43672</v>
      </c>
      <c r="N156" s="625">
        <f>SUMIF($E$5:$E$155,"*.",N5:N155)</f>
        <v>34886.713860000003</v>
      </c>
      <c r="O156" s="648"/>
      <c r="P156" s="648"/>
      <c r="R156" s="626"/>
      <c r="T156" s="633"/>
      <c r="U156" s="632"/>
    </row>
    <row r="157" spans="2:21" ht="19.149999999999999" customHeight="1">
      <c r="B157" s="704"/>
      <c r="C157" s="684"/>
      <c r="D157" s="705"/>
      <c r="E157" s="695" t="s">
        <v>189</v>
      </c>
      <c r="F157" s="687" t="s">
        <v>76</v>
      </c>
      <c r="G157" s="706"/>
      <c r="H157" s="706"/>
      <c r="I157" s="723"/>
      <c r="J157" s="690"/>
      <c r="K157" s="693"/>
      <c r="L157" s="690"/>
      <c r="M157" s="690"/>
      <c r="N157" s="708"/>
      <c r="O157" s="648"/>
      <c r="P157" s="648"/>
      <c r="R157" s="626"/>
      <c r="T157" s="633"/>
      <c r="U157" s="632"/>
    </row>
    <row r="158" spans="2:21" ht="19.149999999999999" customHeight="1">
      <c r="B158" s="704"/>
      <c r="C158" s="684"/>
      <c r="D158" s="705"/>
      <c r="E158" s="695" t="s">
        <v>190</v>
      </c>
      <c r="F158" s="687" t="s">
        <v>191</v>
      </c>
      <c r="G158" s="706"/>
      <c r="H158" s="706"/>
      <c r="I158" s="707"/>
      <c r="J158" s="690"/>
      <c r="K158" s="693"/>
      <c r="L158" s="690"/>
      <c r="M158" s="690"/>
      <c r="N158" s="708"/>
      <c r="O158" s="648"/>
      <c r="P158" s="648"/>
      <c r="R158" s="626"/>
      <c r="T158" s="633"/>
      <c r="U158" s="632"/>
    </row>
    <row r="159" spans="2:21" ht="19.149999999999999" customHeight="1">
      <c r="B159" s="606" t="s">
        <v>191</v>
      </c>
      <c r="C159" s="655">
        <v>2</v>
      </c>
      <c r="D159" s="615">
        <v>100</v>
      </c>
      <c r="E159" s="608">
        <v>621000</v>
      </c>
      <c r="F159" s="609" t="s">
        <v>848</v>
      </c>
      <c r="G159" s="610">
        <v>35</v>
      </c>
      <c r="H159" s="610">
        <v>32.409866666666659</v>
      </c>
      <c r="I159" s="611" t="s">
        <v>669</v>
      </c>
      <c r="J159" s="616">
        <f>7580-130</f>
        <v>7450</v>
      </c>
      <c r="K159" s="613">
        <v>6800</v>
      </c>
      <c r="L159" s="616">
        <v>7274</v>
      </c>
      <c r="M159" s="616">
        <v>7553</v>
      </c>
      <c r="N159" s="614">
        <v>6599.8558200000007</v>
      </c>
      <c r="O159" s="648"/>
      <c r="P159" s="648"/>
      <c r="R159" s="626"/>
      <c r="T159" s="633"/>
      <c r="U159" s="634"/>
    </row>
    <row r="160" spans="2:21" ht="19.149999999999999" customHeight="1">
      <c r="B160" s="606" t="s">
        <v>191</v>
      </c>
      <c r="C160" s="654">
        <v>2</v>
      </c>
      <c r="D160" s="607">
        <v>470</v>
      </c>
      <c r="E160" s="608">
        <v>621000</v>
      </c>
      <c r="F160" s="703" t="s">
        <v>286</v>
      </c>
      <c r="G160" s="610"/>
      <c r="H160" s="610"/>
      <c r="I160" s="611" t="s">
        <v>44</v>
      </c>
      <c r="J160" s="616">
        <v>95</v>
      </c>
      <c r="K160" s="613">
        <v>92</v>
      </c>
      <c r="L160" s="616">
        <v>92</v>
      </c>
      <c r="M160" s="616">
        <v>92</v>
      </c>
      <c r="N160" s="614">
        <v>91.458850000000012</v>
      </c>
      <c r="O160" s="648"/>
      <c r="P160" s="648"/>
      <c r="R160" s="626"/>
      <c r="T160" s="633"/>
      <c r="U160" s="634"/>
    </row>
    <row r="161" spans="2:21" ht="19.149999999999999" customHeight="1">
      <c r="B161" s="606" t="s">
        <v>191</v>
      </c>
      <c r="C161" s="654">
        <v>2</v>
      </c>
      <c r="D161" s="607">
        <v>511</v>
      </c>
      <c r="E161" s="608">
        <v>621000</v>
      </c>
      <c r="F161" s="703" t="s">
        <v>1682</v>
      </c>
      <c r="G161" s="610"/>
      <c r="H161" s="610"/>
      <c r="I161" s="611" t="s">
        <v>44</v>
      </c>
      <c r="J161" s="616">
        <v>22</v>
      </c>
      <c r="K161" s="613">
        <v>18</v>
      </c>
      <c r="L161" s="616">
        <v>18</v>
      </c>
      <c r="M161" s="616">
        <v>18</v>
      </c>
      <c r="N161" s="614">
        <v>17.25489</v>
      </c>
      <c r="O161" s="648"/>
      <c r="P161" s="648"/>
      <c r="R161" s="626"/>
      <c r="T161" s="633"/>
      <c r="U161" s="634"/>
    </row>
    <row r="162" spans="2:21" ht="19.149999999999999" customHeight="1">
      <c r="B162" s="606" t="s">
        <v>191</v>
      </c>
      <c r="C162" s="655">
        <v>2</v>
      </c>
      <c r="D162" s="615">
        <v>522</v>
      </c>
      <c r="E162" s="608">
        <v>621000</v>
      </c>
      <c r="F162" s="609" t="s">
        <v>344</v>
      </c>
      <c r="G162" s="610"/>
      <c r="H162" s="610"/>
      <c r="I162" s="611" t="s">
        <v>44</v>
      </c>
      <c r="J162" s="616">
        <v>7</v>
      </c>
      <c r="K162" s="613">
        <v>5</v>
      </c>
      <c r="L162" s="616">
        <v>5</v>
      </c>
      <c r="M162" s="616">
        <v>7</v>
      </c>
      <c r="N162" s="614">
        <v>4.0805199999999999</v>
      </c>
      <c r="O162" s="648"/>
      <c r="P162" s="648"/>
      <c r="R162" s="626"/>
      <c r="T162" s="633"/>
      <c r="U162" s="634"/>
    </row>
    <row r="163" spans="2:21" ht="19.149999999999999" customHeight="1">
      <c r="B163" s="606" t="s">
        <v>191</v>
      </c>
      <c r="C163" s="654">
        <v>10</v>
      </c>
      <c r="D163" s="607">
        <v>540</v>
      </c>
      <c r="E163" s="608">
        <v>621000</v>
      </c>
      <c r="F163" s="609" t="s">
        <v>1648</v>
      </c>
      <c r="G163" s="610"/>
      <c r="H163" s="610"/>
      <c r="I163" s="611" t="s">
        <v>175</v>
      </c>
      <c r="J163" s="616">
        <v>17</v>
      </c>
      <c r="K163" s="613">
        <v>17</v>
      </c>
      <c r="L163" s="616">
        <v>17</v>
      </c>
      <c r="M163" s="616">
        <v>17</v>
      </c>
      <c r="N163" s="614">
        <v>15.174010000000001</v>
      </c>
      <c r="O163" s="648"/>
      <c r="P163" s="648"/>
      <c r="R163" s="626"/>
      <c r="T163" s="633"/>
      <c r="U163" s="634"/>
    </row>
    <row r="164" spans="2:21" ht="19.149999999999999" customHeight="1">
      <c r="B164" s="606" t="s">
        <v>191</v>
      </c>
      <c r="C164" s="654">
        <v>12</v>
      </c>
      <c r="D164" s="607">
        <v>550</v>
      </c>
      <c r="E164" s="608">
        <v>621000</v>
      </c>
      <c r="F164" s="703" t="s">
        <v>455</v>
      </c>
      <c r="G164" s="610"/>
      <c r="H164" s="610"/>
      <c r="I164" s="611" t="s">
        <v>44</v>
      </c>
      <c r="J164" s="616">
        <v>10</v>
      </c>
      <c r="K164" s="613">
        <v>10</v>
      </c>
      <c r="L164" s="616">
        <v>10</v>
      </c>
      <c r="M164" s="616">
        <v>10</v>
      </c>
      <c r="N164" s="614">
        <v>15</v>
      </c>
      <c r="O164" s="648"/>
      <c r="P164" s="648"/>
      <c r="R164" s="626"/>
      <c r="T164" s="633"/>
      <c r="U164" s="634"/>
    </row>
    <row r="165" spans="2:21" ht="19.149999999999999" customHeight="1">
      <c r="B165" s="606" t="s">
        <v>191</v>
      </c>
      <c r="C165" s="654">
        <v>10</v>
      </c>
      <c r="D165" s="607">
        <v>570</v>
      </c>
      <c r="E165" s="608">
        <v>621000</v>
      </c>
      <c r="F165" s="609" t="s">
        <v>1240</v>
      </c>
      <c r="G165" s="610"/>
      <c r="H165" s="610"/>
      <c r="I165" s="611" t="s">
        <v>175</v>
      </c>
      <c r="J165" s="616">
        <v>110</v>
      </c>
      <c r="K165" s="613">
        <v>110</v>
      </c>
      <c r="L165" s="616">
        <v>118</v>
      </c>
      <c r="M165" s="616">
        <v>118</v>
      </c>
      <c r="N165" s="614">
        <v>96.046970000000002</v>
      </c>
      <c r="O165" s="648"/>
      <c r="P165" s="648"/>
      <c r="R165" s="626"/>
      <c r="T165" s="633"/>
      <c r="U165" s="634"/>
    </row>
    <row r="166" spans="2:21" ht="19.149999999999999" customHeight="1">
      <c r="B166" s="606" t="s">
        <v>191</v>
      </c>
      <c r="C166" s="654">
        <v>10</v>
      </c>
      <c r="D166" s="607">
        <v>571</v>
      </c>
      <c r="E166" s="608">
        <v>621000</v>
      </c>
      <c r="F166" s="609" t="s">
        <v>1241</v>
      </c>
      <c r="G166" s="610"/>
      <c r="H166" s="610"/>
      <c r="I166" s="611" t="s">
        <v>175</v>
      </c>
      <c r="J166" s="616">
        <v>530</v>
      </c>
      <c r="K166" s="613">
        <v>343</v>
      </c>
      <c r="L166" s="616">
        <v>343</v>
      </c>
      <c r="M166" s="616">
        <v>351</v>
      </c>
      <c r="N166" s="614">
        <v>332.11613</v>
      </c>
      <c r="O166" s="648"/>
      <c r="P166" s="648"/>
      <c r="R166" s="626"/>
      <c r="T166" s="633"/>
      <c r="U166" s="634"/>
    </row>
    <row r="167" spans="2:21" ht="19.149999999999999" customHeight="1">
      <c r="B167" s="606" t="s">
        <v>191</v>
      </c>
      <c r="C167" s="654">
        <v>5</v>
      </c>
      <c r="D167" s="607">
        <v>742</v>
      </c>
      <c r="E167" s="608">
        <v>621000</v>
      </c>
      <c r="F167" s="710" t="s">
        <v>609</v>
      </c>
      <c r="G167" s="610"/>
      <c r="H167" s="610"/>
      <c r="I167" s="611" t="s">
        <v>175</v>
      </c>
      <c r="J167" s="616">
        <v>3</v>
      </c>
      <c r="K167" s="613">
        <v>3</v>
      </c>
      <c r="L167" s="616">
        <v>3</v>
      </c>
      <c r="M167" s="616">
        <v>3</v>
      </c>
      <c r="N167" s="614">
        <v>1.8294699999999999</v>
      </c>
      <c r="O167" s="648"/>
      <c r="P167" s="648"/>
      <c r="R167" s="626"/>
      <c r="T167" s="633"/>
      <c r="U167" s="634"/>
    </row>
    <row r="168" spans="2:21" ht="19.149999999999999" customHeight="1">
      <c r="B168" s="606" t="s">
        <v>191</v>
      </c>
      <c r="C168" s="654">
        <v>2</v>
      </c>
      <c r="D168" s="607">
        <v>755</v>
      </c>
      <c r="E168" s="608">
        <v>621000</v>
      </c>
      <c r="F168" s="710" t="s">
        <v>616</v>
      </c>
      <c r="G168" s="610"/>
      <c r="H168" s="610"/>
      <c r="I168" s="611" t="s">
        <v>44</v>
      </c>
      <c r="J168" s="616">
        <v>48</v>
      </c>
      <c r="K168" s="613">
        <v>110</v>
      </c>
      <c r="L168" s="616">
        <v>110</v>
      </c>
      <c r="M168" s="616">
        <v>50</v>
      </c>
      <c r="N168" s="614">
        <v>47.36562</v>
      </c>
      <c r="O168" s="648"/>
      <c r="P168" s="648"/>
      <c r="R168" s="626"/>
      <c r="T168" s="633"/>
      <c r="U168" s="634"/>
    </row>
    <row r="169" spans="2:21" ht="19.149999999999999" customHeight="1">
      <c r="B169" s="606" t="s">
        <v>191</v>
      </c>
      <c r="C169" s="654">
        <v>2</v>
      </c>
      <c r="D169" s="607">
        <v>930</v>
      </c>
      <c r="E169" s="608">
        <v>621000</v>
      </c>
      <c r="F169" s="609" t="s">
        <v>611</v>
      </c>
      <c r="G169" s="610"/>
      <c r="H169" s="610"/>
      <c r="I169" s="611" t="s">
        <v>44</v>
      </c>
      <c r="J169" s="616">
        <v>10</v>
      </c>
      <c r="K169" s="613">
        <v>10</v>
      </c>
      <c r="L169" s="616">
        <v>10</v>
      </c>
      <c r="M169" s="616">
        <v>10</v>
      </c>
      <c r="N169" s="614">
        <v>10.00001</v>
      </c>
      <c r="O169" s="648"/>
      <c r="P169" s="648"/>
      <c r="R169" s="626"/>
      <c r="T169" s="633"/>
      <c r="U169" s="634"/>
    </row>
    <row r="170" spans="2:21" ht="19.149999999999999" customHeight="1">
      <c r="B170" s="606" t="s">
        <v>191</v>
      </c>
      <c r="C170" s="655">
        <v>2</v>
      </c>
      <c r="D170" s="615">
        <v>950</v>
      </c>
      <c r="E170" s="608">
        <v>621000</v>
      </c>
      <c r="F170" s="724" t="s">
        <v>1824</v>
      </c>
      <c r="G170" s="610"/>
      <c r="H170" s="610"/>
      <c r="I170" s="611" t="s">
        <v>175</v>
      </c>
      <c r="J170" s="616">
        <v>710</v>
      </c>
      <c r="K170" s="613">
        <v>840</v>
      </c>
      <c r="L170" s="616">
        <v>840</v>
      </c>
      <c r="M170" s="616">
        <v>850</v>
      </c>
      <c r="N170" s="614">
        <v>700.59337000000005</v>
      </c>
      <c r="O170" s="648"/>
      <c r="P170" s="648"/>
      <c r="R170" s="626"/>
      <c r="T170" s="633"/>
      <c r="U170" s="634"/>
    </row>
    <row r="171" spans="2:21" ht="19.149999999999999" customHeight="1">
      <c r="B171" s="606" t="s">
        <v>191</v>
      </c>
      <c r="C171" s="654">
        <v>2</v>
      </c>
      <c r="D171" s="607">
        <v>951</v>
      </c>
      <c r="E171" s="608">
        <v>621000</v>
      </c>
      <c r="F171" s="609" t="s">
        <v>782</v>
      </c>
      <c r="G171" s="610"/>
      <c r="H171" s="610"/>
      <c r="I171" s="611" t="s">
        <v>175</v>
      </c>
      <c r="J171" s="616">
        <v>50</v>
      </c>
      <c r="K171" s="613">
        <v>48</v>
      </c>
      <c r="L171" s="616">
        <v>50</v>
      </c>
      <c r="M171" s="616">
        <v>50</v>
      </c>
      <c r="N171" s="614">
        <v>47.795000000000002</v>
      </c>
      <c r="O171" s="648"/>
      <c r="P171" s="648"/>
      <c r="R171" s="626"/>
      <c r="T171" s="633"/>
      <c r="U171" s="634"/>
    </row>
    <row r="172" spans="2:21" ht="19.149999999999999" customHeight="1">
      <c r="B172" s="606" t="s">
        <v>191</v>
      </c>
      <c r="C172" s="655">
        <v>2</v>
      </c>
      <c r="D172" s="615">
        <v>960</v>
      </c>
      <c r="E172" s="608">
        <v>621000</v>
      </c>
      <c r="F172" s="609" t="s">
        <v>902</v>
      </c>
      <c r="G172" s="610"/>
      <c r="H172" s="610"/>
      <c r="I172" s="611" t="s">
        <v>44</v>
      </c>
      <c r="J172" s="616">
        <v>20</v>
      </c>
      <c r="K172" s="613">
        <v>20</v>
      </c>
      <c r="L172" s="616">
        <v>20</v>
      </c>
      <c r="M172" s="616">
        <v>25</v>
      </c>
      <c r="N172" s="614">
        <v>23.052</v>
      </c>
      <c r="O172" s="648"/>
      <c r="P172" s="648"/>
      <c r="R172" s="626"/>
      <c r="T172" s="633"/>
      <c r="U172" s="634"/>
    </row>
    <row r="173" spans="2:21" ht="18" customHeight="1">
      <c r="B173" s="711"/>
      <c r="C173" s="712"/>
      <c r="D173" s="713"/>
      <c r="E173" s="714" t="s">
        <v>190</v>
      </c>
      <c r="F173" s="715" t="s">
        <v>903</v>
      </c>
      <c r="G173" s="716">
        <f>SUM(G159:G172)</f>
        <v>35</v>
      </c>
      <c r="H173" s="716">
        <f>SUM(H159:H172)</f>
        <v>32.409866666666659</v>
      </c>
      <c r="I173" s="717"/>
      <c r="J173" s="718">
        <f>SUM(J159:J172)</f>
        <v>9082</v>
      </c>
      <c r="K173" s="725">
        <f>SUM(K159:K172)</f>
        <v>8426</v>
      </c>
      <c r="L173" s="718">
        <f>SUM(L159:L172)</f>
        <v>8910</v>
      </c>
      <c r="M173" s="718">
        <f>SUM(M159:M172)</f>
        <v>9154</v>
      </c>
      <c r="N173" s="720">
        <f>SUM(N159:N172)</f>
        <v>8001.6226600000009</v>
      </c>
      <c r="O173" s="648"/>
      <c r="P173" s="648"/>
      <c r="R173" s="626"/>
      <c r="T173" s="633"/>
      <c r="U173" s="632"/>
    </row>
    <row r="174" spans="2:21" ht="18" customHeight="1">
      <c r="B174" s="704"/>
      <c r="C174" s="684"/>
      <c r="D174" s="705"/>
      <c r="E174" s="695" t="s">
        <v>904</v>
      </c>
      <c r="F174" s="687" t="s">
        <v>514</v>
      </c>
      <c r="G174" s="706"/>
      <c r="H174" s="706"/>
      <c r="I174" s="707"/>
      <c r="J174" s="690"/>
      <c r="K174" s="693"/>
      <c r="L174" s="690"/>
      <c r="M174" s="690"/>
      <c r="N174" s="708"/>
      <c r="O174" s="648"/>
      <c r="P174" s="648"/>
      <c r="R174" s="626"/>
      <c r="T174" s="633"/>
      <c r="U174" s="632"/>
    </row>
    <row r="175" spans="2:21" ht="18" customHeight="1">
      <c r="B175" s="606" t="s">
        <v>514</v>
      </c>
      <c r="C175" s="655">
        <v>2</v>
      </c>
      <c r="D175" s="615">
        <v>100</v>
      </c>
      <c r="E175" s="608">
        <v>623000</v>
      </c>
      <c r="F175" s="609" t="s">
        <v>1058</v>
      </c>
      <c r="G175" s="610">
        <v>43.5</v>
      </c>
      <c r="H175" s="610">
        <v>41.725850000000001</v>
      </c>
      <c r="I175" s="611" t="s">
        <v>669</v>
      </c>
      <c r="J175" s="616">
        <f>7365-150</f>
        <v>7215</v>
      </c>
      <c r="K175" s="613">
        <v>6810</v>
      </c>
      <c r="L175" s="616">
        <v>6836</v>
      </c>
      <c r="M175" s="616">
        <v>6975</v>
      </c>
      <c r="N175" s="614">
        <v>6443.9377800000002</v>
      </c>
      <c r="O175" s="648"/>
      <c r="P175" s="648"/>
      <c r="R175" s="626"/>
      <c r="T175" s="633"/>
      <c r="U175" s="634"/>
    </row>
    <row r="176" spans="2:21" ht="18" customHeight="1">
      <c r="B176" s="606" t="s">
        <v>514</v>
      </c>
      <c r="C176" s="655">
        <v>2</v>
      </c>
      <c r="D176" s="615">
        <v>101</v>
      </c>
      <c r="E176" s="608">
        <v>623000</v>
      </c>
      <c r="F176" s="609" t="s">
        <v>1209</v>
      </c>
      <c r="G176" s="610">
        <v>7.5</v>
      </c>
      <c r="H176" s="610">
        <v>6.3735499999999998</v>
      </c>
      <c r="I176" s="611" t="s">
        <v>669</v>
      </c>
      <c r="J176" s="616">
        <f>925+70</f>
        <v>995</v>
      </c>
      <c r="K176" s="613">
        <v>830</v>
      </c>
      <c r="L176" s="616">
        <v>973</v>
      </c>
      <c r="M176" s="616">
        <v>992</v>
      </c>
      <c r="N176" s="614">
        <v>756.13108</v>
      </c>
      <c r="O176" s="648"/>
      <c r="P176" s="648"/>
      <c r="R176" s="626"/>
      <c r="T176" s="633"/>
      <c r="U176" s="634"/>
    </row>
    <row r="177" spans="2:21" ht="18" customHeight="1">
      <c r="B177" s="606" t="s">
        <v>514</v>
      </c>
      <c r="C177" s="654">
        <v>2</v>
      </c>
      <c r="D177" s="607">
        <v>470</v>
      </c>
      <c r="E177" s="608">
        <v>623000</v>
      </c>
      <c r="F177" s="609" t="s">
        <v>803</v>
      </c>
      <c r="G177" s="610"/>
      <c r="H177" s="610"/>
      <c r="I177" s="611" t="s">
        <v>44</v>
      </c>
      <c r="J177" s="616">
        <v>64</v>
      </c>
      <c r="K177" s="613">
        <v>70</v>
      </c>
      <c r="L177" s="616">
        <v>70</v>
      </c>
      <c r="M177" s="616">
        <v>70</v>
      </c>
      <c r="N177" s="614">
        <v>49.522169999999996</v>
      </c>
      <c r="O177" s="648"/>
      <c r="P177" s="648"/>
      <c r="R177" s="626"/>
      <c r="T177" s="633"/>
      <c r="U177" s="634"/>
    </row>
    <row r="178" spans="2:21" ht="18" customHeight="1">
      <c r="B178" s="606" t="s">
        <v>514</v>
      </c>
      <c r="C178" s="654">
        <v>2</v>
      </c>
      <c r="D178" s="607">
        <v>511</v>
      </c>
      <c r="E178" s="608">
        <v>623000</v>
      </c>
      <c r="F178" s="609" t="s">
        <v>1682</v>
      </c>
      <c r="G178" s="610"/>
      <c r="H178" s="610"/>
      <c r="I178" s="611" t="s">
        <v>44</v>
      </c>
      <c r="J178" s="616">
        <v>24</v>
      </c>
      <c r="K178" s="613">
        <v>24</v>
      </c>
      <c r="L178" s="616">
        <v>24</v>
      </c>
      <c r="M178" s="616">
        <v>24</v>
      </c>
      <c r="N178" s="614">
        <v>21.44171</v>
      </c>
      <c r="O178" s="648"/>
      <c r="P178" s="648"/>
      <c r="R178" s="626"/>
      <c r="T178" s="633"/>
      <c r="U178" s="634"/>
    </row>
    <row r="179" spans="2:21" ht="18" customHeight="1">
      <c r="B179" s="606" t="s">
        <v>514</v>
      </c>
      <c r="C179" s="654">
        <v>10</v>
      </c>
      <c r="D179" s="607">
        <v>540</v>
      </c>
      <c r="E179" s="608">
        <v>623000</v>
      </c>
      <c r="F179" s="609" t="s">
        <v>1648</v>
      </c>
      <c r="G179" s="610"/>
      <c r="H179" s="610"/>
      <c r="I179" s="611" t="s">
        <v>175</v>
      </c>
      <c r="J179" s="616">
        <v>8</v>
      </c>
      <c r="K179" s="613">
        <v>7</v>
      </c>
      <c r="L179" s="616">
        <v>5</v>
      </c>
      <c r="M179" s="616">
        <v>5</v>
      </c>
      <c r="N179" s="614">
        <v>5.0766899999999993</v>
      </c>
      <c r="O179" s="648"/>
      <c r="P179" s="648"/>
      <c r="R179" s="626"/>
      <c r="T179" s="633"/>
      <c r="U179" s="634"/>
    </row>
    <row r="180" spans="2:21" ht="18" customHeight="1">
      <c r="B180" s="606" t="s">
        <v>514</v>
      </c>
      <c r="C180" s="654">
        <v>12</v>
      </c>
      <c r="D180" s="607">
        <v>550</v>
      </c>
      <c r="E180" s="608">
        <v>623000</v>
      </c>
      <c r="F180" s="609" t="s">
        <v>607</v>
      </c>
      <c r="G180" s="610"/>
      <c r="H180" s="610"/>
      <c r="I180" s="611" t="s">
        <v>44</v>
      </c>
      <c r="J180" s="616">
        <v>33</v>
      </c>
      <c r="K180" s="613">
        <v>33</v>
      </c>
      <c r="L180" s="616">
        <v>33</v>
      </c>
      <c r="M180" s="616">
        <v>33</v>
      </c>
      <c r="N180" s="614">
        <v>32.795389999999998</v>
      </c>
      <c r="O180" s="648"/>
      <c r="P180" s="648"/>
      <c r="R180" s="626"/>
      <c r="T180" s="633"/>
      <c r="U180" s="634"/>
    </row>
    <row r="181" spans="2:21" ht="18" customHeight="1">
      <c r="B181" s="606" t="s">
        <v>514</v>
      </c>
      <c r="C181" s="654">
        <v>10</v>
      </c>
      <c r="D181" s="607">
        <v>570</v>
      </c>
      <c r="E181" s="608">
        <v>623000</v>
      </c>
      <c r="F181" s="609" t="s">
        <v>38</v>
      </c>
      <c r="G181" s="610"/>
      <c r="H181" s="610"/>
      <c r="I181" s="611" t="s">
        <v>175</v>
      </c>
      <c r="J181" s="616">
        <v>534</v>
      </c>
      <c r="K181" s="613">
        <v>534</v>
      </c>
      <c r="L181" s="616">
        <v>534</v>
      </c>
      <c r="M181" s="616">
        <v>500</v>
      </c>
      <c r="N181" s="614">
        <v>434.90431000000001</v>
      </c>
      <c r="O181" s="648"/>
      <c r="P181" s="648"/>
      <c r="R181" s="626"/>
      <c r="T181" s="633"/>
      <c r="U181" s="634"/>
    </row>
    <row r="182" spans="2:21" ht="18" customHeight="1">
      <c r="B182" s="606" t="s">
        <v>514</v>
      </c>
      <c r="C182" s="654">
        <v>2</v>
      </c>
      <c r="D182" s="607">
        <v>581</v>
      </c>
      <c r="E182" s="608">
        <v>623000</v>
      </c>
      <c r="F182" s="701" t="s">
        <v>1870</v>
      </c>
      <c r="G182" s="610"/>
      <c r="H182" s="610"/>
      <c r="I182" s="611" t="s">
        <v>175</v>
      </c>
      <c r="J182" s="616">
        <v>50</v>
      </c>
      <c r="K182" s="613">
        <v>-490</v>
      </c>
      <c r="L182" s="616">
        <v>50</v>
      </c>
      <c r="M182" s="616">
        <v>50</v>
      </c>
      <c r="N182" s="614">
        <v>-544.95885999999996</v>
      </c>
      <c r="O182" s="648"/>
      <c r="P182" s="648"/>
      <c r="R182" s="626"/>
      <c r="T182" s="633"/>
      <c r="U182" s="634"/>
    </row>
    <row r="183" spans="2:21" ht="18" customHeight="1">
      <c r="B183" s="606" t="s">
        <v>514</v>
      </c>
      <c r="C183" s="654">
        <v>2</v>
      </c>
      <c r="D183" s="607">
        <v>582</v>
      </c>
      <c r="E183" s="608">
        <v>623000</v>
      </c>
      <c r="F183" s="703" t="s">
        <v>1782</v>
      </c>
      <c r="G183" s="610"/>
      <c r="H183" s="610"/>
      <c r="I183" s="611" t="s">
        <v>175</v>
      </c>
      <c r="J183" s="616">
        <v>600</v>
      </c>
      <c r="K183" s="613">
        <v>540</v>
      </c>
      <c r="L183" s="616">
        <v>600</v>
      </c>
      <c r="M183" s="616">
        <v>600</v>
      </c>
      <c r="N183" s="614">
        <v>642.08517000000006</v>
      </c>
      <c r="O183" s="648"/>
      <c r="P183" s="648"/>
      <c r="R183" s="626"/>
      <c r="T183" s="633"/>
      <c r="U183" s="634"/>
    </row>
    <row r="184" spans="2:21" ht="18" customHeight="1">
      <c r="B184" s="606" t="s">
        <v>514</v>
      </c>
      <c r="C184" s="654">
        <v>2</v>
      </c>
      <c r="D184" s="607">
        <v>583</v>
      </c>
      <c r="E184" s="608">
        <v>623000</v>
      </c>
      <c r="F184" s="703" t="s">
        <v>1928</v>
      </c>
      <c r="G184" s="610"/>
      <c r="H184" s="610"/>
      <c r="I184" s="611" t="s">
        <v>175</v>
      </c>
      <c r="J184" s="616">
        <v>50</v>
      </c>
      <c r="K184" s="613">
        <v>-145</v>
      </c>
      <c r="L184" s="616">
        <v>50</v>
      </c>
      <c r="M184" s="616">
        <v>50</v>
      </c>
      <c r="N184" s="614">
        <v>-147.39292</v>
      </c>
      <c r="O184" s="648"/>
      <c r="P184" s="648"/>
      <c r="R184" s="626"/>
      <c r="T184" s="633"/>
      <c r="U184" s="634"/>
    </row>
    <row r="185" spans="2:21" ht="18" customHeight="1">
      <c r="B185" s="606" t="s">
        <v>514</v>
      </c>
      <c r="C185" s="654">
        <v>2</v>
      </c>
      <c r="D185" s="607">
        <v>584</v>
      </c>
      <c r="E185" s="608">
        <v>623000</v>
      </c>
      <c r="F185" s="703" t="s">
        <v>1929</v>
      </c>
      <c r="G185" s="610"/>
      <c r="H185" s="610"/>
      <c r="I185" s="611" t="s">
        <v>175</v>
      </c>
      <c r="J185" s="616">
        <v>1000</v>
      </c>
      <c r="K185" s="613">
        <v>900</v>
      </c>
      <c r="L185" s="616">
        <v>1000</v>
      </c>
      <c r="M185" s="616">
        <v>1000</v>
      </c>
      <c r="N185" s="614">
        <v>907.32752000000005</v>
      </c>
      <c r="O185" s="648"/>
      <c r="P185" s="648"/>
      <c r="R185" s="626"/>
      <c r="T185" s="633"/>
      <c r="U185" s="634"/>
    </row>
    <row r="186" spans="2:21" ht="14">
      <c r="B186" s="606" t="s">
        <v>514</v>
      </c>
      <c r="C186" s="654">
        <v>10</v>
      </c>
      <c r="D186" s="607">
        <v>611</v>
      </c>
      <c r="E186" s="608">
        <v>623000</v>
      </c>
      <c r="F186" s="609" t="s">
        <v>1930</v>
      </c>
      <c r="G186" s="610"/>
      <c r="H186" s="610"/>
      <c r="I186" s="611" t="s">
        <v>175</v>
      </c>
      <c r="J186" s="616">
        <v>120</v>
      </c>
      <c r="K186" s="613">
        <v>120</v>
      </c>
      <c r="L186" s="616">
        <v>120</v>
      </c>
      <c r="M186" s="616">
        <v>120</v>
      </c>
      <c r="N186" s="614">
        <v>111.61780999999999</v>
      </c>
      <c r="O186" s="648"/>
      <c r="P186" s="648"/>
      <c r="R186" s="626"/>
      <c r="T186" s="633"/>
      <c r="U186" s="634"/>
    </row>
    <row r="187" spans="2:21" ht="33" customHeight="1">
      <c r="B187" s="606" t="s">
        <v>514</v>
      </c>
      <c r="C187" s="654">
        <v>2</v>
      </c>
      <c r="D187" s="607">
        <v>612</v>
      </c>
      <c r="E187" s="608">
        <v>623000</v>
      </c>
      <c r="F187" s="609" t="s">
        <v>1660</v>
      </c>
      <c r="G187" s="610"/>
      <c r="H187" s="610"/>
      <c r="I187" s="611" t="s">
        <v>175</v>
      </c>
      <c r="J187" s="616">
        <v>550</v>
      </c>
      <c r="K187" s="613">
        <v>500</v>
      </c>
      <c r="L187" s="616">
        <v>400</v>
      </c>
      <c r="M187" s="616">
        <v>400</v>
      </c>
      <c r="N187" s="614">
        <v>428.49590000000001</v>
      </c>
      <c r="O187" s="648"/>
      <c r="P187" s="648"/>
      <c r="R187" s="626"/>
      <c r="T187" s="633"/>
      <c r="U187" s="634"/>
    </row>
    <row r="188" spans="2:21" ht="18" customHeight="1">
      <c r="B188" s="606" t="s">
        <v>514</v>
      </c>
      <c r="C188" s="654">
        <v>5</v>
      </c>
      <c r="D188" s="607">
        <v>730</v>
      </c>
      <c r="E188" s="608">
        <v>623000</v>
      </c>
      <c r="F188" s="609" t="s">
        <v>1551</v>
      </c>
      <c r="G188" s="610"/>
      <c r="H188" s="610"/>
      <c r="I188" s="611" t="s">
        <v>175</v>
      </c>
      <c r="J188" s="616">
        <v>25</v>
      </c>
      <c r="K188" s="613">
        <v>25</v>
      </c>
      <c r="L188" s="616">
        <v>22</v>
      </c>
      <c r="M188" s="616">
        <v>22</v>
      </c>
      <c r="N188" s="614">
        <v>21.251180000000002</v>
      </c>
      <c r="O188" s="648"/>
      <c r="P188" s="648"/>
      <c r="R188" s="626"/>
      <c r="T188" s="633"/>
      <c r="U188" s="634"/>
    </row>
    <row r="189" spans="2:21" ht="18" customHeight="1">
      <c r="B189" s="606" t="s">
        <v>514</v>
      </c>
      <c r="C189" s="654">
        <v>5</v>
      </c>
      <c r="D189" s="607">
        <v>742</v>
      </c>
      <c r="E189" s="608">
        <v>623000</v>
      </c>
      <c r="F189" s="710" t="s">
        <v>609</v>
      </c>
      <c r="G189" s="610"/>
      <c r="H189" s="610"/>
      <c r="I189" s="611" t="s">
        <v>175</v>
      </c>
      <c r="J189" s="616">
        <v>3</v>
      </c>
      <c r="K189" s="613">
        <v>3</v>
      </c>
      <c r="L189" s="616">
        <v>3</v>
      </c>
      <c r="M189" s="616">
        <v>3</v>
      </c>
      <c r="N189" s="614">
        <v>1.2422299999999999</v>
      </c>
      <c r="O189" s="648"/>
      <c r="P189" s="648"/>
      <c r="R189" s="626"/>
      <c r="T189" s="633"/>
      <c r="U189" s="634"/>
    </row>
    <row r="190" spans="2:21" ht="18" customHeight="1">
      <c r="B190" s="606" t="s">
        <v>514</v>
      </c>
      <c r="C190" s="654">
        <v>2</v>
      </c>
      <c r="D190" s="607">
        <v>750</v>
      </c>
      <c r="E190" s="608">
        <v>623000</v>
      </c>
      <c r="F190" s="710" t="s">
        <v>327</v>
      </c>
      <c r="G190" s="610"/>
      <c r="H190" s="610"/>
      <c r="I190" s="611" t="s">
        <v>175</v>
      </c>
      <c r="J190" s="616">
        <v>530</v>
      </c>
      <c r="K190" s="613">
        <v>530</v>
      </c>
      <c r="L190" s="616">
        <v>530</v>
      </c>
      <c r="M190" s="616">
        <v>530</v>
      </c>
      <c r="N190" s="614">
        <v>384.18968000000001</v>
      </c>
      <c r="O190" s="648"/>
      <c r="P190" s="648"/>
      <c r="R190" s="626"/>
      <c r="T190" s="633"/>
      <c r="U190" s="634"/>
    </row>
    <row r="191" spans="2:21" ht="18" customHeight="1">
      <c r="B191" s="606" t="s">
        <v>514</v>
      </c>
      <c r="C191" s="655">
        <v>2</v>
      </c>
      <c r="D191" s="615">
        <v>754</v>
      </c>
      <c r="E191" s="608">
        <v>623000</v>
      </c>
      <c r="F191" s="710" t="s">
        <v>179</v>
      </c>
      <c r="G191" s="610"/>
      <c r="H191" s="610"/>
      <c r="I191" s="611" t="s">
        <v>44</v>
      </c>
      <c r="J191" s="616">
        <v>5</v>
      </c>
      <c r="K191" s="613">
        <v>0</v>
      </c>
      <c r="L191" s="616">
        <v>0</v>
      </c>
      <c r="M191" s="616">
        <v>5</v>
      </c>
      <c r="N191" s="614">
        <v>0</v>
      </c>
      <c r="O191" s="648"/>
      <c r="P191" s="648"/>
      <c r="R191" s="626"/>
      <c r="T191" s="633"/>
      <c r="U191" s="634"/>
    </row>
    <row r="192" spans="2:21" ht="18" customHeight="1">
      <c r="B192" s="606" t="s">
        <v>514</v>
      </c>
      <c r="C192" s="654">
        <v>2</v>
      </c>
      <c r="D192" s="607">
        <v>755</v>
      </c>
      <c r="E192" s="608">
        <v>623000</v>
      </c>
      <c r="F192" s="710" t="s">
        <v>616</v>
      </c>
      <c r="G192" s="610"/>
      <c r="H192" s="610"/>
      <c r="I192" s="611" t="s">
        <v>44</v>
      </c>
      <c r="J192" s="616">
        <v>48</v>
      </c>
      <c r="K192" s="613">
        <v>50</v>
      </c>
      <c r="L192" s="616">
        <v>50</v>
      </c>
      <c r="M192" s="616">
        <v>50</v>
      </c>
      <c r="N192" s="614">
        <v>78.861000000000004</v>
      </c>
      <c r="O192" s="648"/>
      <c r="P192" s="648"/>
      <c r="R192" s="626"/>
      <c r="T192" s="633"/>
      <c r="U192" s="634"/>
    </row>
    <row r="193" spans="2:21" ht="18" customHeight="1">
      <c r="B193" s="606" t="s">
        <v>514</v>
      </c>
      <c r="C193" s="654">
        <v>2</v>
      </c>
      <c r="D193" s="607">
        <v>780</v>
      </c>
      <c r="E193" s="608">
        <v>623000</v>
      </c>
      <c r="F193" s="710" t="s">
        <v>1218</v>
      </c>
      <c r="G193" s="610"/>
      <c r="H193" s="610"/>
      <c r="I193" s="611" t="s">
        <v>175</v>
      </c>
      <c r="J193" s="616">
        <v>200</v>
      </c>
      <c r="K193" s="613">
        <v>180</v>
      </c>
      <c r="L193" s="616">
        <v>200</v>
      </c>
      <c r="M193" s="616">
        <v>200</v>
      </c>
      <c r="N193" s="614">
        <v>177.88399999999999</v>
      </c>
      <c r="O193" s="648"/>
      <c r="P193" s="648"/>
      <c r="R193" s="626"/>
      <c r="T193" s="633"/>
      <c r="U193" s="634"/>
    </row>
    <row r="194" spans="2:21" ht="18" customHeight="1">
      <c r="B194" s="606" t="s">
        <v>514</v>
      </c>
      <c r="C194" s="655">
        <v>2</v>
      </c>
      <c r="D194" s="615">
        <v>781</v>
      </c>
      <c r="E194" s="608">
        <v>623000</v>
      </c>
      <c r="F194" s="710" t="s">
        <v>758</v>
      </c>
      <c r="G194" s="610"/>
      <c r="H194" s="610"/>
      <c r="I194" s="611" t="s">
        <v>44</v>
      </c>
      <c r="J194" s="616">
        <v>85</v>
      </c>
      <c r="K194" s="613">
        <v>85</v>
      </c>
      <c r="L194" s="616">
        <v>87</v>
      </c>
      <c r="M194" s="616">
        <v>93</v>
      </c>
      <c r="N194" s="614">
        <v>53.831760000000003</v>
      </c>
      <c r="O194" s="648"/>
      <c r="P194" s="648"/>
      <c r="R194" s="626"/>
      <c r="T194" s="633"/>
      <c r="U194" s="634"/>
    </row>
    <row r="195" spans="2:21" ht="18" customHeight="1">
      <c r="B195" s="606" t="s">
        <v>514</v>
      </c>
      <c r="C195" s="655">
        <v>2</v>
      </c>
      <c r="D195" s="615">
        <v>930</v>
      </c>
      <c r="E195" s="608">
        <v>623000</v>
      </c>
      <c r="F195" s="609" t="s">
        <v>611</v>
      </c>
      <c r="G195" s="610"/>
      <c r="H195" s="610"/>
      <c r="I195" s="611" t="s">
        <v>44</v>
      </c>
      <c r="J195" s="616">
        <v>25</v>
      </c>
      <c r="K195" s="613">
        <v>25</v>
      </c>
      <c r="L195" s="616">
        <v>25</v>
      </c>
      <c r="M195" s="616">
        <v>28</v>
      </c>
      <c r="N195" s="614">
        <v>4.1971999999999996</v>
      </c>
      <c r="O195" s="648"/>
      <c r="P195" s="648"/>
      <c r="R195" s="626"/>
      <c r="T195" s="633"/>
      <c r="U195" s="634"/>
    </row>
    <row r="196" spans="2:21" ht="18" customHeight="1">
      <c r="B196" s="617"/>
      <c r="C196" s="656"/>
      <c r="D196" s="618"/>
      <c r="E196" s="619" t="s">
        <v>904</v>
      </c>
      <c r="F196" s="620" t="s">
        <v>180</v>
      </c>
      <c r="G196" s="621">
        <f>SUM(G175:G195)</f>
        <v>51</v>
      </c>
      <c r="H196" s="621">
        <f>SUM(H175:H195)</f>
        <v>48.099400000000003</v>
      </c>
      <c r="I196" s="622"/>
      <c r="J196" s="623">
        <f>SUM(J175:J195)</f>
        <v>12164</v>
      </c>
      <c r="K196" s="624">
        <f>SUM(K175:K195)</f>
        <v>10631</v>
      </c>
      <c r="L196" s="623">
        <f>SUM(L175:L195)</f>
        <v>11612</v>
      </c>
      <c r="M196" s="623">
        <f>SUM(M175:M195)</f>
        <v>11750</v>
      </c>
      <c r="N196" s="625">
        <f>SUM(N175:N195)</f>
        <v>9862.4408000000003</v>
      </c>
      <c r="O196" s="648"/>
      <c r="P196" s="648"/>
      <c r="R196" s="626"/>
      <c r="T196" s="633"/>
      <c r="U196" s="632"/>
    </row>
    <row r="197" spans="2:21" ht="19.149999999999999" customHeight="1">
      <c r="B197" s="617"/>
      <c r="C197" s="656"/>
      <c r="D197" s="618"/>
      <c r="E197" s="619" t="s">
        <v>189</v>
      </c>
      <c r="F197" s="620" t="s">
        <v>181</v>
      </c>
      <c r="G197" s="621">
        <f>SUMIF($E$157:$E$196,"*.",G157:G196)</f>
        <v>86</v>
      </c>
      <c r="H197" s="621">
        <f>SUMIF($E$157:$E$196,"*.",H157:H196)</f>
        <v>80.509266666666662</v>
      </c>
      <c r="I197" s="622"/>
      <c r="J197" s="726">
        <f>SUMIF($E$157:$E$196,"*.",J157:J196)</f>
        <v>21246</v>
      </c>
      <c r="K197" s="624">
        <f>SUMIF($E$157:$E$196,"*.",K157:K196)</f>
        <v>19057</v>
      </c>
      <c r="L197" s="727">
        <f>SUMIF($E$157:$E$196,"*.",L157:L196)</f>
        <v>20522</v>
      </c>
      <c r="M197" s="727">
        <f>SUMIF($E$157:$E$196,"*.",M157:M196)</f>
        <v>20904</v>
      </c>
      <c r="N197" s="728">
        <f>SUMIF($E$157:$E$196,"*.",N157:N196)</f>
        <v>17864.063460000001</v>
      </c>
      <c r="O197" s="648"/>
      <c r="P197" s="648"/>
      <c r="R197" s="626"/>
      <c r="T197" s="633"/>
      <c r="U197" s="632"/>
    </row>
    <row r="198" spans="2:21" ht="19.149999999999999" customHeight="1">
      <c r="B198" s="704"/>
      <c r="C198" s="684"/>
      <c r="D198" s="705"/>
      <c r="E198" s="695" t="s">
        <v>182</v>
      </c>
      <c r="F198" s="687" t="s">
        <v>183</v>
      </c>
      <c r="G198" s="706"/>
      <c r="H198" s="706"/>
      <c r="I198" s="723"/>
      <c r="J198" s="690"/>
      <c r="K198" s="693"/>
      <c r="L198" s="690"/>
      <c r="M198" s="690"/>
      <c r="N198" s="708"/>
      <c r="O198" s="648"/>
      <c r="P198" s="648"/>
      <c r="R198" s="626"/>
      <c r="T198" s="633"/>
      <c r="U198" s="632"/>
    </row>
    <row r="199" spans="2:21" ht="19.149999999999999" customHeight="1">
      <c r="B199" s="704"/>
      <c r="C199" s="684"/>
      <c r="D199" s="705"/>
      <c r="E199" s="695" t="s">
        <v>184</v>
      </c>
      <c r="F199" s="687" t="s">
        <v>185</v>
      </c>
      <c r="G199" s="706"/>
      <c r="H199" s="706"/>
      <c r="I199" s="707"/>
      <c r="J199" s="690"/>
      <c r="K199" s="693"/>
      <c r="L199" s="690"/>
      <c r="M199" s="690"/>
      <c r="N199" s="708"/>
      <c r="O199" s="648"/>
      <c r="P199" s="648"/>
      <c r="R199" s="626"/>
      <c r="T199" s="633"/>
      <c r="U199" s="632"/>
    </row>
    <row r="200" spans="2:21" ht="19.149999999999999" customHeight="1">
      <c r="B200" s="606" t="s">
        <v>185</v>
      </c>
      <c r="C200" s="654">
        <v>2</v>
      </c>
      <c r="D200" s="607">
        <v>610</v>
      </c>
      <c r="E200" s="608">
        <v>631000</v>
      </c>
      <c r="F200" s="609" t="s">
        <v>1219</v>
      </c>
      <c r="G200" s="610"/>
      <c r="H200" s="610"/>
      <c r="I200" s="611" t="s">
        <v>175</v>
      </c>
      <c r="J200" s="616">
        <v>180</v>
      </c>
      <c r="K200" s="613">
        <v>170</v>
      </c>
      <c r="L200" s="616">
        <v>140</v>
      </c>
      <c r="M200" s="616">
        <v>140</v>
      </c>
      <c r="N200" s="614">
        <v>152.32804999999999</v>
      </c>
      <c r="O200" s="648"/>
      <c r="P200" s="648"/>
      <c r="R200" s="626"/>
      <c r="T200" s="633"/>
      <c r="U200" s="634"/>
    </row>
    <row r="201" spans="2:21" ht="19.149999999999999" customHeight="1">
      <c r="B201" s="617"/>
      <c r="C201" s="656"/>
      <c r="D201" s="618"/>
      <c r="E201" s="619" t="s">
        <v>184</v>
      </c>
      <c r="F201" s="620" t="s">
        <v>399</v>
      </c>
      <c r="G201" s="621">
        <f>SUM(G200)</f>
        <v>0</v>
      </c>
      <c r="H201" s="621">
        <f>SUM(H200)</f>
        <v>0</v>
      </c>
      <c r="I201" s="622"/>
      <c r="J201" s="623">
        <f>SUM(J200)</f>
        <v>180</v>
      </c>
      <c r="K201" s="624">
        <f>SUM(K200)</f>
        <v>170</v>
      </c>
      <c r="L201" s="623">
        <f>SUM(L200)</f>
        <v>140</v>
      </c>
      <c r="M201" s="623">
        <f>SUM(M200)</f>
        <v>140</v>
      </c>
      <c r="N201" s="625">
        <f>SUM(N200)</f>
        <v>152.32804999999999</v>
      </c>
      <c r="O201" s="648"/>
      <c r="P201" s="648"/>
      <c r="R201" s="626"/>
      <c r="T201" s="633"/>
      <c r="U201" s="632"/>
    </row>
    <row r="202" spans="2:21" ht="19.149999999999999" customHeight="1">
      <c r="B202" s="704"/>
      <c r="C202" s="684"/>
      <c r="D202" s="705"/>
      <c r="E202" s="695" t="s">
        <v>621</v>
      </c>
      <c r="F202" s="687" t="s">
        <v>622</v>
      </c>
      <c r="G202" s="706"/>
      <c r="H202" s="706"/>
      <c r="I202" s="707"/>
      <c r="J202" s="690"/>
      <c r="K202" s="693"/>
      <c r="L202" s="690"/>
      <c r="M202" s="690"/>
      <c r="N202" s="708"/>
      <c r="O202" s="648"/>
      <c r="P202" s="648"/>
      <c r="R202" s="626"/>
      <c r="T202" s="633"/>
      <c r="U202" s="632"/>
    </row>
    <row r="203" spans="2:21" ht="19.149999999999999" customHeight="1">
      <c r="B203" s="606" t="s">
        <v>622</v>
      </c>
      <c r="C203" s="654">
        <v>2</v>
      </c>
      <c r="D203" s="607">
        <v>611</v>
      </c>
      <c r="E203" s="608">
        <v>632000</v>
      </c>
      <c r="F203" s="609" t="s">
        <v>358</v>
      </c>
      <c r="G203" s="610"/>
      <c r="H203" s="610"/>
      <c r="I203" s="611" t="s">
        <v>175</v>
      </c>
      <c r="J203" s="616">
        <v>1800</v>
      </c>
      <c r="K203" s="613">
        <v>1700</v>
      </c>
      <c r="L203" s="616">
        <v>1800</v>
      </c>
      <c r="M203" s="616">
        <v>1800</v>
      </c>
      <c r="N203" s="614">
        <v>1638.6641500000001</v>
      </c>
      <c r="O203" s="648"/>
      <c r="P203" s="648"/>
      <c r="R203" s="626"/>
      <c r="T203" s="633"/>
      <c r="U203" s="634"/>
    </row>
    <row r="204" spans="2:21" ht="19.149999999999999" customHeight="1">
      <c r="B204" s="606" t="s">
        <v>622</v>
      </c>
      <c r="C204" s="654">
        <v>2</v>
      </c>
      <c r="D204" s="607">
        <v>620</v>
      </c>
      <c r="E204" s="608">
        <v>632000</v>
      </c>
      <c r="F204" s="609" t="s">
        <v>194</v>
      </c>
      <c r="G204" s="610"/>
      <c r="H204" s="610"/>
      <c r="I204" s="611" t="s">
        <v>175</v>
      </c>
      <c r="J204" s="616">
        <v>5</v>
      </c>
      <c r="K204" s="613">
        <v>1</v>
      </c>
      <c r="L204" s="616">
        <v>5</v>
      </c>
      <c r="M204" s="616">
        <v>5</v>
      </c>
      <c r="N204" s="614">
        <v>0.46056000000000002</v>
      </c>
      <c r="O204" s="648"/>
      <c r="P204" s="648"/>
      <c r="R204" s="626"/>
      <c r="T204" s="633"/>
      <c r="U204" s="634"/>
    </row>
    <row r="205" spans="2:21" ht="19.149999999999999" customHeight="1">
      <c r="B205" s="606" t="s">
        <v>622</v>
      </c>
      <c r="C205" s="654">
        <v>2</v>
      </c>
      <c r="D205" s="607">
        <v>861</v>
      </c>
      <c r="E205" s="608">
        <v>632000</v>
      </c>
      <c r="F205" s="609" t="s">
        <v>1913</v>
      </c>
      <c r="G205" s="610"/>
      <c r="H205" s="610"/>
      <c r="I205" s="611" t="s">
        <v>175</v>
      </c>
      <c r="J205" s="616">
        <v>1650</v>
      </c>
      <c r="K205" s="613">
        <v>1400</v>
      </c>
      <c r="L205" s="616">
        <v>1650</v>
      </c>
      <c r="M205" s="616">
        <v>1650</v>
      </c>
      <c r="N205" s="614">
        <v>1623.0583000000001</v>
      </c>
      <c r="O205" s="648"/>
      <c r="P205" s="648"/>
      <c r="R205" s="626"/>
      <c r="T205" s="633"/>
      <c r="U205" s="634"/>
    </row>
    <row r="206" spans="2:21" ht="19.149999999999999" customHeight="1">
      <c r="B206" s="617"/>
      <c r="C206" s="656"/>
      <c r="D206" s="618"/>
      <c r="E206" s="619" t="s">
        <v>621</v>
      </c>
      <c r="F206" s="620" t="s">
        <v>365</v>
      </c>
      <c r="G206" s="621">
        <f>SUM(G205)</f>
        <v>0</v>
      </c>
      <c r="H206" s="621">
        <f>SUM(H205)</f>
        <v>0</v>
      </c>
      <c r="I206" s="622"/>
      <c r="J206" s="623">
        <f>SUM(J203:J205)</f>
        <v>3455</v>
      </c>
      <c r="K206" s="624">
        <f>SUM(K203:K205)</f>
        <v>3101</v>
      </c>
      <c r="L206" s="623">
        <f>SUM(L203:L205)</f>
        <v>3455</v>
      </c>
      <c r="M206" s="623">
        <f>SUM(M203:M205)</f>
        <v>3455</v>
      </c>
      <c r="N206" s="625">
        <f>SUM(N203:N205)</f>
        <v>3262.1830100000002</v>
      </c>
      <c r="O206" s="648"/>
      <c r="P206" s="648"/>
      <c r="R206" s="626"/>
      <c r="T206" s="633"/>
      <c r="U206" s="632"/>
    </row>
    <row r="207" spans="2:21" ht="19.149999999999999" customHeight="1">
      <c r="B207" s="617"/>
      <c r="C207" s="656"/>
      <c r="D207" s="618"/>
      <c r="E207" s="619" t="s">
        <v>182</v>
      </c>
      <c r="F207" s="620" t="s">
        <v>2279</v>
      </c>
      <c r="G207" s="621">
        <f>SUMIF($E$198:$E$206,"*.",G198:G206)</f>
        <v>0</v>
      </c>
      <c r="H207" s="621">
        <f>SUMIF($E$198:$E$206,"*.",H198:H206)</f>
        <v>0</v>
      </c>
      <c r="I207" s="622"/>
      <c r="J207" s="623">
        <f>SUMIF($E$198:$E$206,"*.",J198:J206)</f>
        <v>3635</v>
      </c>
      <c r="K207" s="624">
        <f>SUMIF($E$198:$E$206,"*.",K198:K206)</f>
        <v>3271</v>
      </c>
      <c r="L207" s="623">
        <f>SUMIF($E$198:$E$206,"*.",L198:L206)</f>
        <v>3595</v>
      </c>
      <c r="M207" s="623">
        <f>SUMIF($E$198:$E$206,"*.",M198:M206)</f>
        <v>3595</v>
      </c>
      <c r="N207" s="625">
        <f>SUMIF($E$198:$E$206,"*.",N198:N206)</f>
        <v>3414.5110600000003</v>
      </c>
      <c r="O207" s="648"/>
      <c r="P207" s="648"/>
      <c r="R207" s="626"/>
      <c r="T207" s="633"/>
      <c r="U207" s="632"/>
    </row>
    <row r="208" spans="2:21" ht="19.149999999999999" customHeight="1">
      <c r="B208" s="704"/>
      <c r="C208" s="684"/>
      <c r="D208" s="705"/>
      <c r="E208" s="695" t="s">
        <v>769</v>
      </c>
      <c r="F208" s="687" t="s">
        <v>770</v>
      </c>
      <c r="G208" s="706"/>
      <c r="H208" s="706"/>
      <c r="I208" s="723"/>
      <c r="J208" s="690"/>
      <c r="K208" s="693"/>
      <c r="L208" s="690"/>
      <c r="M208" s="690"/>
      <c r="N208" s="708"/>
      <c r="O208" s="648"/>
      <c r="P208" s="648"/>
      <c r="R208" s="626"/>
      <c r="T208" s="633"/>
      <c r="U208" s="632"/>
    </row>
    <row r="209" spans="2:26" ht="19.149999999999999" customHeight="1">
      <c r="B209" s="704"/>
      <c r="C209" s="684"/>
      <c r="D209" s="705"/>
      <c r="E209" s="695" t="s">
        <v>359</v>
      </c>
      <c r="F209" s="687" t="s">
        <v>100</v>
      </c>
      <c r="G209" s="706"/>
      <c r="H209" s="706"/>
      <c r="I209" s="707"/>
      <c r="J209" s="690"/>
      <c r="K209" s="693"/>
      <c r="L209" s="690"/>
      <c r="M209" s="690"/>
      <c r="N209" s="708"/>
      <c r="O209" s="648"/>
      <c r="P209" s="648"/>
      <c r="R209" s="626"/>
      <c r="T209" s="633"/>
      <c r="U209" s="632"/>
    </row>
    <row r="210" spans="2:26" ht="19.149999999999999" customHeight="1">
      <c r="B210" s="606" t="s">
        <v>100</v>
      </c>
      <c r="C210" s="654">
        <v>2</v>
      </c>
      <c r="D210" s="607">
        <v>691</v>
      </c>
      <c r="E210" s="608">
        <v>648100</v>
      </c>
      <c r="F210" s="609" t="s">
        <v>734</v>
      </c>
      <c r="G210" s="610"/>
      <c r="H210" s="610"/>
      <c r="I210" s="611" t="s">
        <v>175</v>
      </c>
      <c r="J210" s="616">
        <f>3350+1030</f>
        <v>4380</v>
      </c>
      <c r="K210" s="613">
        <v>3800</v>
      </c>
      <c r="L210" s="616">
        <v>3850</v>
      </c>
      <c r="M210" s="616">
        <v>3850</v>
      </c>
      <c r="N210" s="614">
        <v>4220.1970799999999</v>
      </c>
      <c r="O210" s="648"/>
      <c r="P210" s="648"/>
      <c r="R210" s="626"/>
      <c r="T210" s="633"/>
      <c r="U210" s="634"/>
      <c r="Z210" s="216"/>
    </row>
    <row r="211" spans="2:26" ht="19.149999999999999" customHeight="1">
      <c r="B211" s="606" t="s">
        <v>100</v>
      </c>
      <c r="C211" s="654">
        <v>2</v>
      </c>
      <c r="D211" s="607">
        <v>692</v>
      </c>
      <c r="E211" s="608">
        <v>648100</v>
      </c>
      <c r="F211" s="609" t="s">
        <v>735</v>
      </c>
      <c r="G211" s="610"/>
      <c r="H211" s="610"/>
      <c r="I211" s="611" t="s">
        <v>175</v>
      </c>
      <c r="J211" s="616">
        <f>300+70</f>
        <v>370</v>
      </c>
      <c r="K211" s="613">
        <v>400</v>
      </c>
      <c r="L211" s="616">
        <v>450</v>
      </c>
      <c r="M211" s="616">
        <v>450</v>
      </c>
      <c r="N211" s="614">
        <v>549.94799999999998</v>
      </c>
      <c r="O211" s="648"/>
      <c r="P211" s="648"/>
      <c r="R211" s="626"/>
      <c r="T211" s="633"/>
      <c r="U211" s="634"/>
      <c r="Z211" s="216"/>
    </row>
    <row r="212" spans="2:26" ht="19.149999999999999" customHeight="1">
      <c r="B212" s="606" t="s">
        <v>100</v>
      </c>
      <c r="C212" s="654">
        <v>2</v>
      </c>
      <c r="D212" s="607">
        <v>693</v>
      </c>
      <c r="E212" s="608">
        <v>648100</v>
      </c>
      <c r="F212" s="609" t="s">
        <v>427</v>
      </c>
      <c r="G212" s="610"/>
      <c r="H212" s="610"/>
      <c r="I212" s="611" t="s">
        <v>175</v>
      </c>
      <c r="J212" s="616">
        <v>750</v>
      </c>
      <c r="K212" s="613">
        <v>850</v>
      </c>
      <c r="L212" s="616">
        <v>1000</v>
      </c>
      <c r="M212" s="616">
        <v>1000</v>
      </c>
      <c r="N212" s="614">
        <v>981.10703000000001</v>
      </c>
      <c r="O212" s="648"/>
      <c r="P212" s="648"/>
      <c r="R212" s="626"/>
      <c r="T212" s="633"/>
      <c r="U212" s="634"/>
      <c r="Z212" s="216"/>
    </row>
    <row r="213" spans="2:26" ht="19.149999999999999" customHeight="1">
      <c r="B213" s="617"/>
      <c r="C213" s="656"/>
      <c r="D213" s="618"/>
      <c r="E213" s="619" t="s">
        <v>359</v>
      </c>
      <c r="F213" s="620" t="s">
        <v>467</v>
      </c>
      <c r="G213" s="621">
        <f>SUM(G210:G212)</f>
        <v>0</v>
      </c>
      <c r="H213" s="621">
        <f>SUM(H210:H212)</f>
        <v>0</v>
      </c>
      <c r="I213" s="622"/>
      <c r="J213" s="623">
        <f>SUM(J210:J212)</f>
        <v>5500</v>
      </c>
      <c r="K213" s="624">
        <f>SUM(K210:K212)</f>
        <v>5050</v>
      </c>
      <c r="L213" s="623">
        <f>SUM(L210:L212)</f>
        <v>5300</v>
      </c>
      <c r="M213" s="623">
        <f>SUM(M210:M212)</f>
        <v>5300</v>
      </c>
      <c r="N213" s="625">
        <f>SUM(N210:N212)</f>
        <v>5751.2521100000004</v>
      </c>
      <c r="O213" s="648"/>
      <c r="P213" s="648"/>
      <c r="R213" s="626"/>
      <c r="T213" s="633"/>
      <c r="U213" s="632"/>
    </row>
    <row r="214" spans="2:26" ht="19.149999999999999" customHeight="1">
      <c r="B214" s="704"/>
      <c r="C214" s="684"/>
      <c r="D214" s="705"/>
      <c r="E214" s="695" t="s">
        <v>1319</v>
      </c>
      <c r="F214" s="687" t="s">
        <v>1318</v>
      </c>
      <c r="G214" s="706"/>
      <c r="H214" s="706"/>
      <c r="I214" s="707"/>
      <c r="J214" s="690"/>
      <c r="K214" s="693"/>
      <c r="L214" s="690"/>
      <c r="M214" s="690"/>
      <c r="N214" s="708"/>
      <c r="O214" s="648"/>
      <c r="P214" s="648"/>
      <c r="R214" s="626"/>
      <c r="T214" s="633"/>
      <c r="U214" s="632"/>
    </row>
    <row r="215" spans="2:26" ht="19.149999999999999" customHeight="1">
      <c r="B215" s="606" t="s">
        <v>1318</v>
      </c>
      <c r="C215" s="654">
        <v>2</v>
      </c>
      <c r="D215" s="607">
        <v>691</v>
      </c>
      <c r="E215" s="608">
        <v>648300</v>
      </c>
      <c r="F215" s="609" t="s">
        <v>734</v>
      </c>
      <c r="G215" s="729"/>
      <c r="H215" s="729"/>
      <c r="I215" s="730" t="s">
        <v>175</v>
      </c>
      <c r="J215" s="731">
        <v>1010</v>
      </c>
      <c r="K215" s="732">
        <v>1010</v>
      </c>
      <c r="L215" s="731">
        <v>1010</v>
      </c>
      <c r="M215" s="731">
        <v>1010</v>
      </c>
      <c r="N215" s="614">
        <v>1008.8666800000001</v>
      </c>
      <c r="O215" s="648"/>
      <c r="P215" s="648"/>
      <c r="R215" s="626"/>
      <c r="T215" s="633"/>
      <c r="U215" s="636"/>
      <c r="Z215" s="216"/>
    </row>
    <row r="216" spans="2:26" ht="19.149999999999999" customHeight="1">
      <c r="B216" s="606" t="s">
        <v>1318</v>
      </c>
      <c r="C216" s="654">
        <v>2</v>
      </c>
      <c r="D216" s="607">
        <v>692</v>
      </c>
      <c r="E216" s="608">
        <v>648300</v>
      </c>
      <c r="F216" s="609" t="s">
        <v>735</v>
      </c>
      <c r="G216" s="729"/>
      <c r="H216" s="729"/>
      <c r="I216" s="730" t="s">
        <v>175</v>
      </c>
      <c r="J216" s="731">
        <v>175</v>
      </c>
      <c r="K216" s="732">
        <v>175</v>
      </c>
      <c r="L216" s="731">
        <v>175</v>
      </c>
      <c r="M216" s="731">
        <v>175</v>
      </c>
      <c r="N216" s="614">
        <v>182.79811999999998</v>
      </c>
      <c r="O216" s="648"/>
      <c r="P216" s="648"/>
      <c r="R216" s="626"/>
      <c r="T216" s="633"/>
      <c r="U216" s="636"/>
      <c r="Z216" s="216"/>
    </row>
    <row r="217" spans="2:26" ht="19.149999999999999" customHeight="1">
      <c r="B217" s="606" t="s">
        <v>1318</v>
      </c>
      <c r="C217" s="654">
        <v>2</v>
      </c>
      <c r="D217" s="607">
        <v>693</v>
      </c>
      <c r="E217" s="608">
        <v>648300</v>
      </c>
      <c r="F217" s="609" t="s">
        <v>427</v>
      </c>
      <c r="G217" s="729"/>
      <c r="H217" s="729"/>
      <c r="I217" s="730" t="s">
        <v>175</v>
      </c>
      <c r="J217" s="731">
        <v>15</v>
      </c>
      <c r="K217" s="732">
        <v>15</v>
      </c>
      <c r="L217" s="731">
        <v>35</v>
      </c>
      <c r="M217" s="731">
        <v>35</v>
      </c>
      <c r="N217" s="614">
        <v>11.12965</v>
      </c>
      <c r="O217" s="648"/>
      <c r="P217" s="648"/>
      <c r="R217" s="626"/>
      <c r="T217" s="633"/>
      <c r="U217" s="636"/>
      <c r="Z217" s="216"/>
    </row>
    <row r="218" spans="2:26" ht="19.149999999999999" customHeight="1">
      <c r="B218" s="617"/>
      <c r="C218" s="656"/>
      <c r="D218" s="618"/>
      <c r="E218" s="619" t="s">
        <v>1319</v>
      </c>
      <c r="F218" s="620" t="s">
        <v>1320</v>
      </c>
      <c r="G218" s="621">
        <f>SUM(G215:G217)</f>
        <v>0</v>
      </c>
      <c r="H218" s="621">
        <f>SUM(H215:H217)</f>
        <v>0</v>
      </c>
      <c r="I218" s="622"/>
      <c r="J218" s="623">
        <f>SUM(J215:J217)</f>
        <v>1200</v>
      </c>
      <c r="K218" s="624">
        <f>SUM(K215:K217)</f>
        <v>1200</v>
      </c>
      <c r="L218" s="623">
        <f>SUM(L215:L217)</f>
        <v>1220</v>
      </c>
      <c r="M218" s="623">
        <f>SUM(M215:M217)</f>
        <v>1220</v>
      </c>
      <c r="N218" s="625">
        <f>SUM(N215:N217)</f>
        <v>1202.7944500000001</v>
      </c>
      <c r="O218" s="648"/>
      <c r="P218" s="648"/>
      <c r="R218" s="626"/>
      <c r="T218" s="633"/>
      <c r="U218" s="632"/>
    </row>
    <row r="219" spans="2:26" ht="19.149999999999999" customHeight="1">
      <c r="B219" s="704"/>
      <c r="C219" s="684"/>
      <c r="D219" s="705"/>
      <c r="E219" s="695" t="s">
        <v>799</v>
      </c>
      <c r="F219" s="687" t="s">
        <v>315</v>
      </c>
      <c r="G219" s="706"/>
      <c r="H219" s="706"/>
      <c r="I219" s="707"/>
      <c r="J219" s="690"/>
      <c r="K219" s="693"/>
      <c r="L219" s="690"/>
      <c r="M219" s="690"/>
      <c r="N219" s="708"/>
      <c r="O219" s="648"/>
      <c r="P219" s="648"/>
      <c r="R219" s="626"/>
      <c r="T219" s="633"/>
      <c r="U219" s="632"/>
    </row>
    <row r="220" spans="2:26" ht="19.149999999999999" customHeight="1">
      <c r="B220" s="606" t="s">
        <v>800</v>
      </c>
      <c r="C220" s="654">
        <v>2</v>
      </c>
      <c r="D220" s="607">
        <v>691</v>
      </c>
      <c r="E220" s="608">
        <v>648500</v>
      </c>
      <c r="F220" s="609" t="s">
        <v>734</v>
      </c>
      <c r="G220" s="729"/>
      <c r="H220" s="729"/>
      <c r="I220" s="730" t="s">
        <v>175</v>
      </c>
      <c r="J220" s="731">
        <v>400</v>
      </c>
      <c r="K220" s="732">
        <v>1750</v>
      </c>
      <c r="L220" s="731">
        <v>1750</v>
      </c>
      <c r="M220" s="731">
        <v>1750</v>
      </c>
      <c r="N220" s="614">
        <v>2763.5703199999998</v>
      </c>
      <c r="O220" s="648"/>
      <c r="P220" s="648"/>
      <c r="R220" s="626"/>
      <c r="T220" s="633"/>
      <c r="U220" s="636"/>
      <c r="Z220" s="216"/>
    </row>
    <row r="221" spans="2:26" ht="19.149999999999999" customHeight="1">
      <c r="B221" s="606" t="s">
        <v>800</v>
      </c>
      <c r="C221" s="654">
        <v>2</v>
      </c>
      <c r="D221" s="607">
        <v>692</v>
      </c>
      <c r="E221" s="608">
        <v>648500</v>
      </c>
      <c r="F221" s="609" t="s">
        <v>735</v>
      </c>
      <c r="G221" s="729"/>
      <c r="H221" s="729"/>
      <c r="I221" s="730" t="s">
        <v>175</v>
      </c>
      <c r="J221" s="731">
        <v>50</v>
      </c>
      <c r="K221" s="732">
        <v>100</v>
      </c>
      <c r="L221" s="731">
        <v>100</v>
      </c>
      <c r="M221" s="731">
        <v>100</v>
      </c>
      <c r="N221" s="614">
        <v>182.30939000000001</v>
      </c>
      <c r="O221" s="648"/>
      <c r="P221" s="648"/>
      <c r="R221" s="626"/>
      <c r="T221" s="633"/>
      <c r="U221" s="636"/>
      <c r="Z221" s="216"/>
    </row>
    <row r="222" spans="2:26" ht="19.149999999999999" customHeight="1">
      <c r="B222" s="606" t="s">
        <v>800</v>
      </c>
      <c r="C222" s="654">
        <v>2</v>
      </c>
      <c r="D222" s="607">
        <v>693</v>
      </c>
      <c r="E222" s="608">
        <v>648500</v>
      </c>
      <c r="F222" s="609" t="s">
        <v>427</v>
      </c>
      <c r="G222" s="729"/>
      <c r="H222" s="729"/>
      <c r="I222" s="730" t="s">
        <v>175</v>
      </c>
      <c r="J222" s="731">
        <v>100</v>
      </c>
      <c r="K222" s="732">
        <v>400</v>
      </c>
      <c r="L222" s="731">
        <v>500</v>
      </c>
      <c r="M222" s="731">
        <v>500</v>
      </c>
      <c r="N222" s="614">
        <v>682.50906999999995</v>
      </c>
      <c r="O222" s="648"/>
      <c r="P222" s="648"/>
      <c r="R222" s="626"/>
      <c r="T222" s="633"/>
      <c r="U222" s="636"/>
      <c r="Z222" s="216"/>
    </row>
    <row r="223" spans="2:26" ht="19.149999999999999" customHeight="1">
      <c r="B223" s="617"/>
      <c r="C223" s="656"/>
      <c r="D223" s="618"/>
      <c r="E223" s="619" t="s">
        <v>799</v>
      </c>
      <c r="F223" s="620" t="s">
        <v>801</v>
      </c>
      <c r="G223" s="621">
        <f>SUM(G220:G222)</f>
        <v>0</v>
      </c>
      <c r="H223" s="621">
        <f>SUM(H220:H222)</f>
        <v>0</v>
      </c>
      <c r="I223" s="622"/>
      <c r="J223" s="623">
        <f>SUM(J220:J222)</f>
        <v>550</v>
      </c>
      <c r="K223" s="624">
        <f>SUM(K220:K222)</f>
        <v>2250</v>
      </c>
      <c r="L223" s="623">
        <f>SUM(L220:L222)</f>
        <v>2350</v>
      </c>
      <c r="M223" s="623">
        <f>SUM(M220:M222)</f>
        <v>2350</v>
      </c>
      <c r="N223" s="625">
        <f>SUM(N220:N222)</f>
        <v>3628.3887799999998</v>
      </c>
      <c r="O223" s="648"/>
      <c r="P223" s="648"/>
      <c r="R223" s="626"/>
      <c r="T223" s="633"/>
      <c r="U223" s="632"/>
    </row>
    <row r="224" spans="2:26" ht="19.149999999999999" customHeight="1">
      <c r="B224" s="704"/>
      <c r="C224" s="684"/>
      <c r="D224" s="705"/>
      <c r="E224" s="695" t="s">
        <v>537</v>
      </c>
      <c r="F224" s="687" t="s">
        <v>802</v>
      </c>
      <c r="G224" s="706"/>
      <c r="H224" s="706"/>
      <c r="I224" s="707"/>
      <c r="J224" s="690"/>
      <c r="K224" s="693"/>
      <c r="L224" s="690"/>
      <c r="M224" s="690"/>
      <c r="N224" s="708"/>
      <c r="O224" s="648"/>
      <c r="P224" s="648"/>
      <c r="R224" s="626"/>
      <c r="T224" s="633"/>
      <c r="U224" s="632"/>
    </row>
    <row r="225" spans="2:26" ht="19.149999999999999" customHeight="1">
      <c r="B225" s="606" t="s">
        <v>802</v>
      </c>
      <c r="C225" s="654">
        <v>2</v>
      </c>
      <c r="D225" s="607">
        <v>691</v>
      </c>
      <c r="E225" s="608">
        <v>648600</v>
      </c>
      <c r="F225" s="609" t="s">
        <v>734</v>
      </c>
      <c r="G225" s="729"/>
      <c r="H225" s="729"/>
      <c r="I225" s="730" t="s">
        <v>175</v>
      </c>
      <c r="J225" s="731">
        <v>1500</v>
      </c>
      <c r="K225" s="732">
        <v>2300</v>
      </c>
      <c r="L225" s="731">
        <v>2350</v>
      </c>
      <c r="M225" s="731">
        <v>2350</v>
      </c>
      <c r="N225" s="614">
        <v>3593.8499400000001</v>
      </c>
      <c r="O225" s="648"/>
      <c r="P225" s="648"/>
      <c r="R225" s="626"/>
      <c r="T225" s="633"/>
      <c r="U225" s="636"/>
      <c r="Z225" s="216"/>
    </row>
    <row r="226" spans="2:26" ht="19.149999999999999" customHeight="1">
      <c r="B226" s="606" t="s">
        <v>536</v>
      </c>
      <c r="C226" s="654">
        <v>2</v>
      </c>
      <c r="D226" s="607">
        <v>692</v>
      </c>
      <c r="E226" s="608">
        <v>648600</v>
      </c>
      <c r="F226" s="609" t="s">
        <v>735</v>
      </c>
      <c r="G226" s="729"/>
      <c r="H226" s="729"/>
      <c r="I226" s="730" t="s">
        <v>175</v>
      </c>
      <c r="J226" s="731">
        <v>150</v>
      </c>
      <c r="K226" s="732">
        <v>200</v>
      </c>
      <c r="L226" s="731">
        <v>250</v>
      </c>
      <c r="M226" s="731">
        <v>250</v>
      </c>
      <c r="N226" s="614">
        <v>321.36396000000002</v>
      </c>
      <c r="O226" s="648"/>
      <c r="P226" s="648"/>
      <c r="R226" s="626"/>
      <c r="T226" s="633"/>
      <c r="U226" s="636"/>
      <c r="Z226" s="216"/>
    </row>
    <row r="227" spans="2:26" ht="19.149999999999999" customHeight="1">
      <c r="B227" s="606" t="s">
        <v>802</v>
      </c>
      <c r="C227" s="654">
        <v>2</v>
      </c>
      <c r="D227" s="607">
        <v>693</v>
      </c>
      <c r="E227" s="608">
        <v>648600</v>
      </c>
      <c r="F227" s="609" t="s">
        <v>427</v>
      </c>
      <c r="G227" s="729"/>
      <c r="H227" s="729"/>
      <c r="I227" s="730" t="s">
        <v>175</v>
      </c>
      <c r="J227" s="731">
        <v>350</v>
      </c>
      <c r="K227" s="732">
        <v>500</v>
      </c>
      <c r="L227" s="731">
        <v>650</v>
      </c>
      <c r="M227" s="731">
        <v>650</v>
      </c>
      <c r="N227" s="614">
        <v>852.36356999999998</v>
      </c>
      <c r="O227" s="648"/>
      <c r="P227" s="648"/>
      <c r="R227" s="626"/>
      <c r="T227" s="633"/>
      <c r="U227" s="636"/>
      <c r="Z227" s="216"/>
    </row>
    <row r="228" spans="2:26" ht="14">
      <c r="B228" s="617"/>
      <c r="C228" s="656"/>
      <c r="D228" s="618"/>
      <c r="E228" s="619" t="s">
        <v>537</v>
      </c>
      <c r="F228" s="620" t="s">
        <v>538</v>
      </c>
      <c r="G228" s="621">
        <f>SUM(G225:G227)</f>
        <v>0</v>
      </c>
      <c r="H228" s="621">
        <f>SUM(H225:H227)</f>
        <v>0</v>
      </c>
      <c r="I228" s="622"/>
      <c r="J228" s="623">
        <f>SUM(J225:J227)</f>
        <v>2000</v>
      </c>
      <c r="K228" s="624">
        <f>SUM(K225:K227)</f>
        <v>3000</v>
      </c>
      <c r="L228" s="623">
        <f>SUM(L225:L227)</f>
        <v>3250</v>
      </c>
      <c r="M228" s="623">
        <f>SUM(M225:M227)</f>
        <v>3250</v>
      </c>
      <c r="N228" s="625">
        <f>SUM(N225:N227)</f>
        <v>4767.5774700000002</v>
      </c>
      <c r="O228" s="648"/>
      <c r="P228" s="648"/>
      <c r="R228" s="626"/>
      <c r="T228" s="633"/>
      <c r="U228" s="632"/>
    </row>
    <row r="229" spans="2:26" ht="28">
      <c r="B229" s="617"/>
      <c r="C229" s="656"/>
      <c r="D229" s="618"/>
      <c r="E229" s="619" t="s">
        <v>769</v>
      </c>
      <c r="F229" s="620" t="s">
        <v>1882</v>
      </c>
      <c r="G229" s="621">
        <f>SUMIF($E$208:$E$228,"*.",G208:G228)</f>
        <v>0</v>
      </c>
      <c r="H229" s="621">
        <f>SUMIF($E$208:$E$228,"*.",H208:H228)</f>
        <v>0</v>
      </c>
      <c r="I229" s="622"/>
      <c r="J229" s="623">
        <f>SUMIF($E$208:$E$228,"*.",J208:J228)</f>
        <v>9250</v>
      </c>
      <c r="K229" s="624">
        <f>SUMIF($E$208:$E$228,"*.",K208:K228)</f>
        <v>11500</v>
      </c>
      <c r="L229" s="623">
        <f>SUMIF($E$208:$E$228,"*.",L208:L228)</f>
        <v>12120</v>
      </c>
      <c r="M229" s="623">
        <f>SUMIF($E$208:$E$228,"*.",M208:M228)</f>
        <v>12120</v>
      </c>
      <c r="N229" s="625">
        <f>SUMIF($E$208:$E$228,"*.",N208:N228)</f>
        <v>15350.01281</v>
      </c>
      <c r="O229" s="648"/>
      <c r="P229" s="648"/>
      <c r="R229" s="626"/>
      <c r="T229" s="633"/>
      <c r="U229" s="632"/>
    </row>
    <row r="230" spans="2:26" ht="19.149999999999999" customHeight="1" thickBot="1">
      <c r="B230" s="733"/>
      <c r="C230" s="734"/>
      <c r="D230" s="735"/>
      <c r="E230" s="736" t="s">
        <v>386</v>
      </c>
      <c r="F230" s="737" t="s">
        <v>485</v>
      </c>
      <c r="G230" s="738">
        <f>SUMIF($E$3:$E$229,"??.",G3:G229)</f>
        <v>192.66</v>
      </c>
      <c r="H230" s="738">
        <f>SUMIF($E$3:$E$229,"??.",H3:H229)</f>
        <v>178.07698333333332</v>
      </c>
      <c r="I230" s="739"/>
      <c r="J230" s="740">
        <f>SUMIF($E$3:$E$229,"??.",J3:J229)</f>
        <v>77955</v>
      </c>
      <c r="K230" s="741">
        <f>SUMIF($E$3:$E$229,"??.",K3:K229)</f>
        <v>74101</v>
      </c>
      <c r="L230" s="740">
        <f>SUMIF($E$3:$E$229,"??.",L3:L229)</f>
        <v>78485</v>
      </c>
      <c r="M230" s="740">
        <f>SUMIF($E$3:$E$229,"??.",M3:M229)</f>
        <v>80291</v>
      </c>
      <c r="N230" s="742">
        <f>SUMIF($E$3:$E$229,"??.",N3:N229)</f>
        <v>71515.301189999998</v>
      </c>
      <c r="O230" s="648"/>
      <c r="P230" s="648"/>
      <c r="R230" s="626"/>
      <c r="T230" s="633"/>
      <c r="U230" s="632"/>
    </row>
    <row r="231" spans="2:26" ht="19.149999999999999" customHeight="1" thickTop="1">
      <c r="B231" s="704"/>
      <c r="C231" s="684"/>
      <c r="D231" s="705"/>
      <c r="E231" s="695" t="s">
        <v>388</v>
      </c>
      <c r="F231" s="687" t="s">
        <v>1183</v>
      </c>
      <c r="G231" s="706"/>
      <c r="H231" s="706"/>
      <c r="I231" s="723"/>
      <c r="J231" s="690"/>
      <c r="K231" s="693"/>
      <c r="L231" s="690"/>
      <c r="M231" s="690"/>
      <c r="N231" s="708"/>
      <c r="O231" s="648"/>
      <c r="P231" s="648"/>
      <c r="R231" s="626"/>
      <c r="T231" s="633"/>
      <c r="U231" s="632"/>
    </row>
    <row r="232" spans="2:26" ht="19.149999999999999" customHeight="1">
      <c r="B232" s="704"/>
      <c r="C232" s="684"/>
      <c r="D232" s="705"/>
      <c r="E232" s="695" t="s">
        <v>486</v>
      </c>
      <c r="F232" s="687" t="s">
        <v>685</v>
      </c>
      <c r="G232" s="706"/>
      <c r="H232" s="706"/>
      <c r="I232" s="723"/>
      <c r="J232" s="690"/>
      <c r="K232" s="693"/>
      <c r="L232" s="690"/>
      <c r="M232" s="690"/>
      <c r="N232" s="708"/>
      <c r="O232" s="648"/>
      <c r="P232" s="648"/>
      <c r="R232" s="626"/>
      <c r="T232" s="633"/>
      <c r="U232" s="632"/>
    </row>
    <row r="233" spans="2:26" ht="19.149999999999999" customHeight="1">
      <c r="B233" s="704"/>
      <c r="C233" s="684"/>
      <c r="D233" s="705"/>
      <c r="E233" s="695" t="s">
        <v>487</v>
      </c>
      <c r="F233" s="687" t="s">
        <v>1609</v>
      </c>
      <c r="G233" s="706"/>
      <c r="H233" s="706"/>
      <c r="I233" s="707"/>
      <c r="J233" s="690"/>
      <c r="K233" s="693"/>
      <c r="L233" s="690"/>
      <c r="M233" s="690"/>
      <c r="N233" s="708"/>
      <c r="O233" s="648"/>
      <c r="P233" s="648"/>
      <c r="R233" s="626"/>
      <c r="T233" s="633"/>
      <c r="U233" s="632"/>
    </row>
    <row r="234" spans="2:26" ht="19.149999999999999" customHeight="1">
      <c r="B234" s="606" t="s">
        <v>152</v>
      </c>
      <c r="C234" s="654">
        <v>3</v>
      </c>
      <c r="D234" s="607">
        <v>100</v>
      </c>
      <c r="E234" s="608">
        <v>711000</v>
      </c>
      <c r="F234" s="609" t="s">
        <v>1058</v>
      </c>
      <c r="G234" s="610">
        <v>8.5</v>
      </c>
      <c r="H234" s="610">
        <v>8.1999999999999993</v>
      </c>
      <c r="I234" s="611" t="s">
        <v>669</v>
      </c>
      <c r="J234" s="616">
        <v>2105</v>
      </c>
      <c r="K234" s="613">
        <v>2024</v>
      </c>
      <c r="L234" s="616">
        <v>2029</v>
      </c>
      <c r="M234" s="616">
        <v>2029</v>
      </c>
      <c r="N234" s="614">
        <v>1916.6893700000001</v>
      </c>
      <c r="O234" s="648"/>
      <c r="P234" s="648"/>
      <c r="R234" s="626"/>
      <c r="T234" s="633"/>
      <c r="U234" s="634"/>
    </row>
    <row r="235" spans="2:26" ht="19.149999999999999" customHeight="1">
      <c r="B235" s="606" t="s">
        <v>152</v>
      </c>
      <c r="C235" s="655">
        <v>3</v>
      </c>
      <c r="D235" s="615">
        <v>101</v>
      </c>
      <c r="E235" s="608">
        <v>711000</v>
      </c>
      <c r="F235" s="609" t="s">
        <v>1783</v>
      </c>
      <c r="G235" s="610">
        <v>5</v>
      </c>
      <c r="H235" s="610">
        <v>5</v>
      </c>
      <c r="I235" s="611" t="s">
        <v>669</v>
      </c>
      <c r="J235" s="616">
        <v>1133</v>
      </c>
      <c r="K235" s="613">
        <v>1107</v>
      </c>
      <c r="L235" s="616">
        <v>1220</v>
      </c>
      <c r="M235" s="616">
        <v>1275</v>
      </c>
      <c r="N235" s="614">
        <v>1136.3294900000001</v>
      </c>
      <c r="O235" s="648"/>
      <c r="P235" s="648"/>
      <c r="R235" s="626"/>
      <c r="T235" s="633"/>
      <c r="U235" s="634"/>
    </row>
    <row r="236" spans="2:26" ht="19.149999999999999" customHeight="1">
      <c r="B236" s="606" t="s">
        <v>152</v>
      </c>
      <c r="C236" s="654">
        <v>3</v>
      </c>
      <c r="D236" s="607">
        <v>430</v>
      </c>
      <c r="E236" s="608">
        <v>711000</v>
      </c>
      <c r="F236" s="609" t="s">
        <v>192</v>
      </c>
      <c r="G236" s="610"/>
      <c r="H236" s="610"/>
      <c r="I236" s="611" t="s">
        <v>175</v>
      </c>
      <c r="J236" s="616">
        <v>90</v>
      </c>
      <c r="K236" s="613">
        <v>70</v>
      </c>
      <c r="L236" s="616">
        <v>90</v>
      </c>
      <c r="M236" s="616">
        <v>90</v>
      </c>
      <c r="N236" s="614">
        <v>77.796999999999997</v>
      </c>
      <c r="O236" s="648"/>
      <c r="P236" s="648"/>
      <c r="R236" s="626"/>
      <c r="T236" s="633"/>
      <c r="U236" s="634"/>
    </row>
    <row r="237" spans="2:26" ht="19.149999999999999" customHeight="1">
      <c r="B237" s="606" t="s">
        <v>152</v>
      </c>
      <c r="C237" s="654">
        <v>3</v>
      </c>
      <c r="D237" s="607">
        <v>470</v>
      </c>
      <c r="E237" s="608">
        <v>711000</v>
      </c>
      <c r="F237" s="609" t="s">
        <v>343</v>
      </c>
      <c r="G237" s="610"/>
      <c r="H237" s="610"/>
      <c r="I237" s="611" t="s">
        <v>44</v>
      </c>
      <c r="J237" s="616">
        <v>41</v>
      </c>
      <c r="K237" s="613">
        <v>41</v>
      </c>
      <c r="L237" s="616">
        <v>41</v>
      </c>
      <c r="M237" s="616">
        <v>41</v>
      </c>
      <c r="N237" s="614">
        <v>40.919129999999996</v>
      </c>
      <c r="O237" s="648"/>
      <c r="P237" s="648"/>
      <c r="R237" s="626"/>
      <c r="T237" s="633"/>
      <c r="U237" s="634"/>
    </row>
    <row r="238" spans="2:26" ht="19.149999999999999" customHeight="1">
      <c r="B238" s="606" t="s">
        <v>152</v>
      </c>
      <c r="C238" s="654">
        <v>3</v>
      </c>
      <c r="D238" s="607">
        <v>511</v>
      </c>
      <c r="E238" s="608">
        <v>711000</v>
      </c>
      <c r="F238" s="609" t="s">
        <v>1682</v>
      </c>
      <c r="G238" s="610"/>
      <c r="H238" s="610"/>
      <c r="I238" s="611" t="s">
        <v>44</v>
      </c>
      <c r="J238" s="616">
        <v>34</v>
      </c>
      <c r="K238" s="613">
        <v>34</v>
      </c>
      <c r="L238" s="616">
        <v>34</v>
      </c>
      <c r="M238" s="616">
        <v>34</v>
      </c>
      <c r="N238" s="614">
        <v>29.155720000000002</v>
      </c>
      <c r="O238" s="648"/>
      <c r="P238" s="648"/>
      <c r="R238" s="626"/>
      <c r="T238" s="633"/>
      <c r="U238" s="634"/>
    </row>
    <row r="239" spans="2:26" ht="19.149999999999999" customHeight="1">
      <c r="B239" s="606" t="s">
        <v>152</v>
      </c>
      <c r="C239" s="654">
        <v>10</v>
      </c>
      <c r="D239" s="607">
        <v>540</v>
      </c>
      <c r="E239" s="608">
        <v>711000</v>
      </c>
      <c r="F239" s="609" t="s">
        <v>1648</v>
      </c>
      <c r="G239" s="610"/>
      <c r="H239" s="610"/>
      <c r="I239" s="611" t="s">
        <v>175</v>
      </c>
      <c r="J239" s="616">
        <v>28</v>
      </c>
      <c r="K239" s="613">
        <v>28</v>
      </c>
      <c r="L239" s="616">
        <v>28</v>
      </c>
      <c r="M239" s="616">
        <v>26</v>
      </c>
      <c r="N239" s="614">
        <v>25.644459999999999</v>
      </c>
      <c r="O239" s="648"/>
      <c r="P239" s="648"/>
      <c r="R239" s="626"/>
      <c r="T239" s="633"/>
      <c r="U239" s="634"/>
    </row>
    <row r="240" spans="2:26" ht="19.149999999999999" customHeight="1">
      <c r="B240" s="606" t="s">
        <v>152</v>
      </c>
      <c r="C240" s="655">
        <v>12</v>
      </c>
      <c r="D240" s="615">
        <v>550</v>
      </c>
      <c r="E240" s="608">
        <v>711000</v>
      </c>
      <c r="F240" s="609" t="s">
        <v>607</v>
      </c>
      <c r="G240" s="610"/>
      <c r="H240" s="610"/>
      <c r="I240" s="611" t="s">
        <v>44</v>
      </c>
      <c r="J240" s="616">
        <v>71</v>
      </c>
      <c r="K240" s="613">
        <v>50</v>
      </c>
      <c r="L240" s="616">
        <v>71</v>
      </c>
      <c r="M240" s="616">
        <v>91</v>
      </c>
      <c r="N240" s="614">
        <v>64.228539999999995</v>
      </c>
      <c r="O240" s="648"/>
      <c r="P240" s="648"/>
      <c r="R240" s="626"/>
      <c r="T240" s="633"/>
      <c r="U240" s="634"/>
    </row>
    <row r="241" spans="2:23" ht="19.149999999999999" customHeight="1">
      <c r="B241" s="606" t="s">
        <v>152</v>
      </c>
      <c r="C241" s="654">
        <v>5</v>
      </c>
      <c r="D241" s="607">
        <v>730</v>
      </c>
      <c r="E241" s="608">
        <v>711000</v>
      </c>
      <c r="F241" s="703" t="s">
        <v>1552</v>
      </c>
      <c r="G241" s="610"/>
      <c r="H241" s="610"/>
      <c r="I241" s="611" t="s">
        <v>175</v>
      </c>
      <c r="J241" s="616">
        <v>92</v>
      </c>
      <c r="K241" s="613">
        <v>89</v>
      </c>
      <c r="L241" s="616">
        <v>89</v>
      </c>
      <c r="M241" s="616">
        <v>89</v>
      </c>
      <c r="N241" s="614">
        <v>71.606729999999999</v>
      </c>
      <c r="O241" s="648"/>
      <c r="P241" s="648"/>
      <c r="R241" s="626"/>
      <c r="T241" s="633"/>
      <c r="U241" s="634"/>
    </row>
    <row r="242" spans="2:23" ht="19.149999999999999" customHeight="1">
      <c r="B242" s="606" t="s">
        <v>152</v>
      </c>
      <c r="C242" s="654">
        <v>5</v>
      </c>
      <c r="D242" s="607">
        <v>750</v>
      </c>
      <c r="E242" s="608">
        <v>711000</v>
      </c>
      <c r="F242" s="710" t="s">
        <v>1610</v>
      </c>
      <c r="G242" s="610"/>
      <c r="H242" s="610"/>
      <c r="I242" s="611" t="s">
        <v>175</v>
      </c>
      <c r="J242" s="616">
        <v>175</v>
      </c>
      <c r="K242" s="613">
        <v>175</v>
      </c>
      <c r="L242" s="616">
        <v>175</v>
      </c>
      <c r="M242" s="616">
        <v>170</v>
      </c>
      <c r="N242" s="614">
        <v>170.43754999999999</v>
      </c>
      <c r="O242" s="648"/>
      <c r="P242" s="648"/>
      <c r="R242" s="626"/>
      <c r="T242" s="633"/>
      <c r="U242" s="634"/>
    </row>
    <row r="243" spans="2:23" ht="19.149999999999999" customHeight="1">
      <c r="B243" s="606" t="s">
        <v>152</v>
      </c>
      <c r="C243" s="654">
        <v>5</v>
      </c>
      <c r="D243" s="607">
        <v>752</v>
      </c>
      <c r="E243" s="608">
        <v>711000</v>
      </c>
      <c r="F243" s="710" t="s">
        <v>1374</v>
      </c>
      <c r="G243" s="610"/>
      <c r="H243" s="610"/>
      <c r="I243" s="611" t="s">
        <v>175</v>
      </c>
      <c r="J243" s="616">
        <v>12</v>
      </c>
      <c r="K243" s="613">
        <v>12</v>
      </c>
      <c r="L243" s="616">
        <v>12</v>
      </c>
      <c r="M243" s="616">
        <v>12</v>
      </c>
      <c r="N243" s="614">
        <v>10.37359</v>
      </c>
      <c r="O243" s="648"/>
      <c r="P243" s="648"/>
      <c r="R243" s="626"/>
      <c r="T243" s="633"/>
      <c r="U243" s="634"/>
    </row>
    <row r="244" spans="2:23" ht="19.149999999999999" customHeight="1">
      <c r="B244" s="606" t="s">
        <v>152</v>
      </c>
      <c r="C244" s="655">
        <v>3</v>
      </c>
      <c r="D244" s="615">
        <v>960</v>
      </c>
      <c r="E244" s="608">
        <v>711000</v>
      </c>
      <c r="F244" s="609" t="s">
        <v>902</v>
      </c>
      <c r="G244" s="610"/>
      <c r="H244" s="610"/>
      <c r="I244" s="611" t="s">
        <v>44</v>
      </c>
      <c r="J244" s="616">
        <v>258</v>
      </c>
      <c r="K244" s="613">
        <v>258</v>
      </c>
      <c r="L244" s="616">
        <v>258</v>
      </c>
      <c r="M244" s="616">
        <v>343</v>
      </c>
      <c r="N244" s="614">
        <v>280.93103000000002</v>
      </c>
      <c r="O244" s="648"/>
      <c r="P244" s="648"/>
      <c r="R244" s="626"/>
      <c r="T244" s="633"/>
      <c r="U244" s="634"/>
    </row>
    <row r="245" spans="2:23" ht="19.149999999999999" customHeight="1">
      <c r="B245" s="711"/>
      <c r="C245" s="712"/>
      <c r="D245" s="713"/>
      <c r="E245" s="714" t="s">
        <v>487</v>
      </c>
      <c r="F245" s="715" t="s">
        <v>153</v>
      </c>
      <c r="G245" s="621">
        <f>SUM(G234:G244)</f>
        <v>13.5</v>
      </c>
      <c r="H245" s="621">
        <f>SUM(H234:H244)</f>
        <v>13.2</v>
      </c>
      <c r="I245" s="743"/>
      <c r="J245" s="744">
        <f>SUM(J234:J244)</f>
        <v>4039</v>
      </c>
      <c r="K245" s="745">
        <f>SUM(K234:K244)</f>
        <v>3888</v>
      </c>
      <c r="L245" s="744">
        <f>SUM(L234:L244)</f>
        <v>4047</v>
      </c>
      <c r="M245" s="744">
        <f>SUM(M234:M244)</f>
        <v>4200</v>
      </c>
      <c r="N245" s="746">
        <f>SUM(N234:N244)</f>
        <v>3824.1126100000006</v>
      </c>
      <c r="O245" s="648"/>
      <c r="P245" s="648"/>
      <c r="R245" s="626"/>
      <c r="T245" s="633"/>
      <c r="U245" s="637"/>
    </row>
    <row r="246" spans="2:23" ht="19.149999999999999" customHeight="1">
      <c r="B246" s="704"/>
      <c r="C246" s="684"/>
      <c r="D246" s="705"/>
      <c r="E246" s="695" t="s">
        <v>488</v>
      </c>
      <c r="F246" s="687" t="s">
        <v>489</v>
      </c>
      <c r="G246" s="706"/>
      <c r="H246" s="706"/>
      <c r="I246" s="707"/>
      <c r="J246" s="690"/>
      <c r="K246" s="693"/>
      <c r="L246" s="690"/>
      <c r="M246" s="690"/>
      <c r="N246" s="708"/>
      <c r="O246" s="648"/>
      <c r="P246" s="648"/>
      <c r="R246" s="626"/>
      <c r="T246" s="633"/>
      <c r="U246" s="632"/>
    </row>
    <row r="247" spans="2:23" ht="19.149999999999999" customHeight="1">
      <c r="B247" s="606" t="s">
        <v>489</v>
      </c>
      <c r="C247" s="654">
        <v>3</v>
      </c>
      <c r="D247" s="607">
        <v>100</v>
      </c>
      <c r="E247" s="608">
        <v>712000</v>
      </c>
      <c r="F247" s="703" t="s">
        <v>848</v>
      </c>
      <c r="G247" s="610">
        <v>8</v>
      </c>
      <c r="H247" s="610">
        <v>7</v>
      </c>
      <c r="I247" s="611" t="s">
        <v>669</v>
      </c>
      <c r="J247" s="616">
        <f>1537+140</f>
        <v>1677</v>
      </c>
      <c r="K247" s="613">
        <v>1473</v>
      </c>
      <c r="L247" s="616">
        <v>1431</v>
      </c>
      <c r="M247" s="616">
        <v>1401</v>
      </c>
      <c r="N247" s="614">
        <v>1309.5201499999998</v>
      </c>
      <c r="O247" s="648"/>
      <c r="P247" s="648"/>
      <c r="R247" s="626"/>
      <c r="T247" s="633"/>
      <c r="U247" s="634"/>
      <c r="W247" s="639"/>
    </row>
    <row r="248" spans="2:23" ht="19.149999999999999" customHeight="1">
      <c r="B248" s="606" t="s">
        <v>489</v>
      </c>
      <c r="C248" s="654">
        <v>3</v>
      </c>
      <c r="D248" s="607">
        <v>101</v>
      </c>
      <c r="E248" s="608">
        <v>712000</v>
      </c>
      <c r="F248" s="703" t="s">
        <v>1256</v>
      </c>
      <c r="G248" s="610">
        <v>2</v>
      </c>
      <c r="H248" s="610">
        <v>2</v>
      </c>
      <c r="I248" s="611" t="s">
        <v>669</v>
      </c>
      <c r="J248" s="616">
        <v>463</v>
      </c>
      <c r="K248" s="613">
        <v>452</v>
      </c>
      <c r="L248" s="616">
        <v>421</v>
      </c>
      <c r="M248" s="616">
        <v>421</v>
      </c>
      <c r="N248" s="614">
        <v>422.55632000000003</v>
      </c>
      <c r="O248" s="648"/>
      <c r="P248" s="648"/>
      <c r="R248" s="626"/>
      <c r="T248" s="633"/>
      <c r="U248" s="634"/>
    </row>
    <row r="249" spans="2:23" ht="19.149999999999999" customHeight="1">
      <c r="B249" s="606" t="s">
        <v>489</v>
      </c>
      <c r="C249" s="655">
        <v>3</v>
      </c>
      <c r="D249" s="615">
        <v>102</v>
      </c>
      <c r="E249" s="608">
        <v>712000</v>
      </c>
      <c r="F249" s="703" t="s">
        <v>1383</v>
      </c>
      <c r="G249" s="610">
        <v>7</v>
      </c>
      <c r="H249" s="610">
        <v>7</v>
      </c>
      <c r="I249" s="611" t="s">
        <v>669</v>
      </c>
      <c r="J249" s="616">
        <f>1385-140</f>
        <v>1245</v>
      </c>
      <c r="K249" s="613">
        <v>1204</v>
      </c>
      <c r="L249" s="616">
        <v>1390</v>
      </c>
      <c r="M249" s="616">
        <v>1448</v>
      </c>
      <c r="N249" s="614">
        <v>1212.66886</v>
      </c>
      <c r="O249" s="648"/>
      <c r="P249" s="648"/>
      <c r="R249" s="626"/>
      <c r="T249" s="633"/>
      <c r="U249" s="634"/>
    </row>
    <row r="250" spans="2:23" ht="19.149999999999999" customHeight="1">
      <c r="B250" s="606" t="s">
        <v>489</v>
      </c>
      <c r="C250" s="654">
        <v>3</v>
      </c>
      <c r="D250" s="607">
        <v>127</v>
      </c>
      <c r="E250" s="608">
        <v>712000</v>
      </c>
      <c r="F250" s="609" t="s">
        <v>996</v>
      </c>
      <c r="G250" s="610">
        <v>0</v>
      </c>
      <c r="H250" s="610">
        <v>0</v>
      </c>
      <c r="I250" s="611" t="s">
        <v>669</v>
      </c>
      <c r="J250" s="616">
        <v>5</v>
      </c>
      <c r="K250" s="613">
        <v>3</v>
      </c>
      <c r="L250" s="616">
        <v>5</v>
      </c>
      <c r="M250" s="616">
        <v>5</v>
      </c>
      <c r="N250" s="614">
        <v>2.74411</v>
      </c>
      <c r="O250" s="648"/>
      <c r="P250" s="648"/>
      <c r="R250" s="626"/>
      <c r="T250" s="633"/>
      <c r="U250" s="634"/>
    </row>
    <row r="251" spans="2:23" ht="19.149999999999999" customHeight="1">
      <c r="B251" s="606" t="s">
        <v>489</v>
      </c>
      <c r="C251" s="654">
        <v>3</v>
      </c>
      <c r="D251" s="607">
        <v>720</v>
      </c>
      <c r="E251" s="608">
        <v>712000</v>
      </c>
      <c r="F251" s="609" t="s">
        <v>154</v>
      </c>
      <c r="G251" s="610"/>
      <c r="H251" s="610"/>
      <c r="I251" s="611" t="s">
        <v>44</v>
      </c>
      <c r="J251" s="616">
        <v>187</v>
      </c>
      <c r="K251" s="613">
        <v>180</v>
      </c>
      <c r="L251" s="616">
        <v>180</v>
      </c>
      <c r="M251" s="616">
        <v>180</v>
      </c>
      <c r="N251" s="614">
        <v>166.26398</v>
      </c>
      <c r="O251" s="648"/>
      <c r="P251" s="648"/>
      <c r="R251" s="626"/>
      <c r="T251" s="633"/>
      <c r="U251" s="634"/>
    </row>
    <row r="252" spans="2:23" ht="19.149999999999999" customHeight="1">
      <c r="B252" s="606" t="s">
        <v>489</v>
      </c>
      <c r="C252" s="654">
        <v>5</v>
      </c>
      <c r="D252" s="607">
        <v>730</v>
      </c>
      <c r="E252" s="608">
        <v>712000</v>
      </c>
      <c r="F252" s="703" t="s">
        <v>195</v>
      </c>
      <c r="G252" s="610"/>
      <c r="H252" s="610"/>
      <c r="I252" s="611" t="s">
        <v>175</v>
      </c>
      <c r="J252" s="616">
        <v>150</v>
      </c>
      <c r="K252" s="613">
        <v>150</v>
      </c>
      <c r="L252" s="616">
        <v>150</v>
      </c>
      <c r="M252" s="616">
        <v>150</v>
      </c>
      <c r="N252" s="614">
        <v>141.93783999999999</v>
      </c>
      <c r="O252" s="648"/>
      <c r="P252" s="648"/>
      <c r="R252" s="626"/>
      <c r="T252" s="633"/>
      <c r="U252" s="634"/>
    </row>
    <row r="253" spans="2:23" ht="18" customHeight="1">
      <c r="B253" s="606" t="s">
        <v>489</v>
      </c>
      <c r="C253" s="654">
        <v>5</v>
      </c>
      <c r="D253" s="607">
        <v>731</v>
      </c>
      <c r="E253" s="608">
        <v>712000</v>
      </c>
      <c r="F253" s="703" t="s">
        <v>1257</v>
      </c>
      <c r="G253" s="610"/>
      <c r="H253" s="610"/>
      <c r="I253" s="611" t="s">
        <v>175</v>
      </c>
      <c r="J253" s="616">
        <f>340</f>
        <v>340</v>
      </c>
      <c r="K253" s="613">
        <v>300</v>
      </c>
      <c r="L253" s="616">
        <v>340</v>
      </c>
      <c r="M253" s="616">
        <v>340</v>
      </c>
      <c r="N253" s="614">
        <v>262.06673000000001</v>
      </c>
      <c r="O253" s="648"/>
      <c r="P253" s="648"/>
      <c r="R253" s="626"/>
      <c r="T253" s="633"/>
      <c r="U253" s="634"/>
    </row>
    <row r="254" spans="2:23" ht="28">
      <c r="B254" s="606" t="s">
        <v>489</v>
      </c>
      <c r="C254" s="654">
        <v>3</v>
      </c>
      <c r="D254" s="607">
        <v>751</v>
      </c>
      <c r="E254" s="608">
        <v>712000</v>
      </c>
      <c r="F254" s="703" t="s">
        <v>1337</v>
      </c>
      <c r="G254" s="610"/>
      <c r="H254" s="610"/>
      <c r="I254" s="611" t="s">
        <v>175</v>
      </c>
      <c r="J254" s="616">
        <f>24036-3000</f>
        <v>21036</v>
      </c>
      <c r="K254" s="613">
        <v>20112</v>
      </c>
      <c r="L254" s="616">
        <v>20112</v>
      </c>
      <c r="M254" s="616">
        <v>20112</v>
      </c>
      <c r="N254" s="614">
        <v>19263.840889999999</v>
      </c>
      <c r="O254" s="648"/>
      <c r="P254" s="648"/>
      <c r="R254" s="626"/>
      <c r="T254" s="633"/>
      <c r="U254" s="634"/>
    </row>
    <row r="255" spans="2:23" ht="19.149999999999999" customHeight="1">
      <c r="B255" s="606" t="s">
        <v>489</v>
      </c>
      <c r="C255" s="654">
        <v>3</v>
      </c>
      <c r="D255" s="607">
        <v>754</v>
      </c>
      <c r="E255" s="608">
        <v>712000</v>
      </c>
      <c r="F255" s="609" t="s">
        <v>1738</v>
      </c>
      <c r="G255" s="610"/>
      <c r="H255" s="610"/>
      <c r="I255" s="611" t="s">
        <v>175</v>
      </c>
      <c r="J255" s="616">
        <v>660</v>
      </c>
      <c r="K255" s="613">
        <v>660</v>
      </c>
      <c r="L255" s="616">
        <v>660</v>
      </c>
      <c r="M255" s="616">
        <v>660</v>
      </c>
      <c r="N255" s="614">
        <v>609.255</v>
      </c>
      <c r="O255" s="648"/>
      <c r="P255" s="648"/>
      <c r="R255" s="626"/>
      <c r="T255" s="633"/>
      <c r="U255" s="634"/>
    </row>
    <row r="256" spans="2:23" ht="19.149999999999999" customHeight="1">
      <c r="B256" s="606" t="s">
        <v>489</v>
      </c>
      <c r="C256" s="655">
        <v>3</v>
      </c>
      <c r="D256" s="615">
        <v>756</v>
      </c>
      <c r="E256" s="608">
        <v>712000</v>
      </c>
      <c r="F256" s="609" t="s">
        <v>1707</v>
      </c>
      <c r="G256" s="610"/>
      <c r="H256" s="610"/>
      <c r="I256" s="611" t="s">
        <v>44</v>
      </c>
      <c r="J256" s="616">
        <v>120</v>
      </c>
      <c r="K256" s="613">
        <v>102</v>
      </c>
      <c r="L256" s="616">
        <v>102</v>
      </c>
      <c r="M256" s="616">
        <v>252</v>
      </c>
      <c r="N256" s="614">
        <v>244.92070999999999</v>
      </c>
      <c r="O256" s="648"/>
      <c r="P256" s="648"/>
      <c r="R256" s="626"/>
      <c r="T256" s="633"/>
      <c r="U256" s="634"/>
    </row>
    <row r="257" spans="2:21" ht="19.149999999999999" customHeight="1">
      <c r="B257" s="606" t="s">
        <v>489</v>
      </c>
      <c r="C257" s="654">
        <v>3</v>
      </c>
      <c r="D257" s="607">
        <v>757</v>
      </c>
      <c r="E257" s="608">
        <v>712000</v>
      </c>
      <c r="F257" s="609" t="s">
        <v>1268</v>
      </c>
      <c r="G257" s="610"/>
      <c r="H257" s="610"/>
      <c r="I257" s="611" t="s">
        <v>175</v>
      </c>
      <c r="J257" s="616">
        <v>9672</v>
      </c>
      <c r="K257" s="613">
        <v>9360</v>
      </c>
      <c r="L257" s="616">
        <v>9360</v>
      </c>
      <c r="M257" s="616">
        <v>9360</v>
      </c>
      <c r="N257" s="614">
        <v>9228.0504000000001</v>
      </c>
      <c r="O257" s="648"/>
      <c r="P257" s="648"/>
      <c r="R257" s="626"/>
      <c r="T257" s="633"/>
      <c r="U257" s="634"/>
    </row>
    <row r="258" spans="2:21" ht="18.649999999999999" customHeight="1">
      <c r="B258" s="606" t="s">
        <v>489</v>
      </c>
      <c r="C258" s="654">
        <v>3</v>
      </c>
      <c r="D258" s="607">
        <v>758</v>
      </c>
      <c r="E258" s="608">
        <v>712000</v>
      </c>
      <c r="F258" s="609" t="s">
        <v>2395</v>
      </c>
      <c r="G258" s="610"/>
      <c r="H258" s="610"/>
      <c r="I258" s="611" t="s">
        <v>175</v>
      </c>
      <c r="J258" s="616">
        <v>30900</v>
      </c>
      <c r="K258" s="613">
        <v>30000</v>
      </c>
      <c r="L258" s="616">
        <v>30000</v>
      </c>
      <c r="M258" s="616">
        <v>30000</v>
      </c>
      <c r="N258" s="614">
        <v>29041.745989999999</v>
      </c>
      <c r="O258" s="648"/>
      <c r="P258" s="648"/>
      <c r="R258" s="626"/>
      <c r="T258" s="633"/>
      <c r="U258" s="634"/>
    </row>
    <row r="259" spans="2:21" ht="18.649999999999999" customHeight="1">
      <c r="B259" s="606" t="s">
        <v>489</v>
      </c>
      <c r="C259" s="655">
        <v>3</v>
      </c>
      <c r="D259" s="615">
        <v>780</v>
      </c>
      <c r="E259" s="608">
        <v>712000</v>
      </c>
      <c r="F259" s="609" t="s">
        <v>1270</v>
      </c>
      <c r="G259" s="610"/>
      <c r="H259" s="610"/>
      <c r="I259" s="611" t="s">
        <v>44</v>
      </c>
      <c r="J259" s="616">
        <v>37</v>
      </c>
      <c r="K259" s="613">
        <v>25</v>
      </c>
      <c r="L259" s="616">
        <v>25</v>
      </c>
      <c r="M259" s="616">
        <v>30</v>
      </c>
      <c r="N259" s="614">
        <v>35.278760000000005</v>
      </c>
      <c r="O259" s="648"/>
      <c r="P259" s="648"/>
      <c r="R259" s="626"/>
      <c r="T259" s="633"/>
      <c r="U259" s="634"/>
    </row>
    <row r="260" spans="2:21" ht="28">
      <c r="B260" s="606" t="s">
        <v>489</v>
      </c>
      <c r="C260" s="654">
        <v>3</v>
      </c>
      <c r="D260" s="607">
        <v>750</v>
      </c>
      <c r="E260" s="608">
        <v>712100</v>
      </c>
      <c r="F260" s="609" t="s">
        <v>2057</v>
      </c>
      <c r="G260" s="610"/>
      <c r="H260" s="610"/>
      <c r="I260" s="611" t="s">
        <v>175</v>
      </c>
      <c r="J260" s="616">
        <v>923</v>
      </c>
      <c r="K260" s="613">
        <v>773</v>
      </c>
      <c r="L260" s="616">
        <v>820</v>
      </c>
      <c r="M260" s="616">
        <v>820</v>
      </c>
      <c r="N260" s="614">
        <v>638.0299</v>
      </c>
      <c r="O260" s="648"/>
      <c r="P260" s="648"/>
      <c r="R260" s="626"/>
      <c r="T260" s="633"/>
      <c r="U260" s="634"/>
    </row>
    <row r="261" spans="2:21" ht="30.75" customHeight="1">
      <c r="B261" s="606" t="s">
        <v>489</v>
      </c>
      <c r="C261" s="654">
        <v>3</v>
      </c>
      <c r="D261" s="607">
        <v>752</v>
      </c>
      <c r="E261" s="608">
        <v>712100</v>
      </c>
      <c r="F261" s="703" t="s">
        <v>2315</v>
      </c>
      <c r="G261" s="610"/>
      <c r="H261" s="610"/>
      <c r="I261" s="611" t="s">
        <v>175</v>
      </c>
      <c r="J261" s="616">
        <v>1100</v>
      </c>
      <c r="K261" s="613">
        <v>1050</v>
      </c>
      <c r="L261" s="616">
        <v>1050</v>
      </c>
      <c r="M261" s="616">
        <v>1050</v>
      </c>
      <c r="N261" s="614">
        <v>1012.29315</v>
      </c>
      <c r="O261" s="648"/>
      <c r="P261" s="648"/>
      <c r="R261" s="626"/>
      <c r="T261" s="633"/>
      <c r="U261" s="634"/>
    </row>
    <row r="262" spans="2:21" ht="30.75" customHeight="1">
      <c r="B262" s="606" t="s">
        <v>489</v>
      </c>
      <c r="C262" s="654">
        <v>3</v>
      </c>
      <c r="D262" s="607">
        <v>754</v>
      </c>
      <c r="E262" s="608">
        <v>712100</v>
      </c>
      <c r="F262" s="703" t="s">
        <v>2179</v>
      </c>
      <c r="G262" s="610"/>
      <c r="H262" s="610"/>
      <c r="I262" s="611" t="s">
        <v>175</v>
      </c>
      <c r="J262" s="616">
        <v>117</v>
      </c>
      <c r="K262" s="613">
        <v>0</v>
      </c>
      <c r="L262" s="616">
        <v>0</v>
      </c>
      <c r="M262" s="616">
        <v>0</v>
      </c>
      <c r="N262" s="614">
        <v>0</v>
      </c>
      <c r="O262" s="648"/>
      <c r="P262" s="648"/>
      <c r="R262" s="626"/>
      <c r="T262" s="633"/>
      <c r="U262" s="634"/>
    </row>
    <row r="263" spans="2:21" ht="19.149999999999999" customHeight="1">
      <c r="B263" s="747"/>
      <c r="C263" s="656"/>
      <c r="D263" s="618"/>
      <c r="E263" s="619" t="s">
        <v>488</v>
      </c>
      <c r="F263" s="620" t="s">
        <v>634</v>
      </c>
      <c r="G263" s="621">
        <f>SUM(G247:G262)</f>
        <v>17</v>
      </c>
      <c r="H263" s="621">
        <f>SUM(H247:H262)</f>
        <v>16</v>
      </c>
      <c r="I263" s="622"/>
      <c r="J263" s="623">
        <f>SUM(J247:J262)</f>
        <v>68632</v>
      </c>
      <c r="K263" s="624">
        <f>SUM(K247:K262)</f>
        <v>65844</v>
      </c>
      <c r="L263" s="623">
        <f>SUM(L247:L262)</f>
        <v>66046</v>
      </c>
      <c r="M263" s="623">
        <f>SUM(M247:M262)</f>
        <v>66229</v>
      </c>
      <c r="N263" s="625">
        <f>SUM(N247:N262)</f>
        <v>63591.17278999999</v>
      </c>
      <c r="O263" s="648"/>
      <c r="P263" s="648"/>
      <c r="R263" s="626"/>
      <c r="T263" s="633"/>
      <c r="U263" s="632"/>
    </row>
    <row r="264" spans="2:21" ht="19.149999999999999" customHeight="1">
      <c r="B264" s="704"/>
      <c r="C264" s="684"/>
      <c r="D264" s="705"/>
      <c r="E264" s="695" t="s">
        <v>635</v>
      </c>
      <c r="F264" s="687" t="s">
        <v>2099</v>
      </c>
      <c r="G264" s="706"/>
      <c r="H264" s="706"/>
      <c r="I264" s="707"/>
      <c r="J264" s="690"/>
      <c r="K264" s="693"/>
      <c r="L264" s="690"/>
      <c r="M264" s="690"/>
      <c r="N264" s="708"/>
      <c r="O264" s="648"/>
      <c r="P264" s="648"/>
      <c r="R264" s="626"/>
      <c r="T264" s="633"/>
      <c r="U264" s="632"/>
    </row>
    <row r="265" spans="2:21" ht="19.149999999999999" customHeight="1">
      <c r="B265" s="606" t="s">
        <v>2099</v>
      </c>
      <c r="C265" s="655">
        <v>9</v>
      </c>
      <c r="D265" s="615">
        <v>100</v>
      </c>
      <c r="E265" s="608">
        <v>713000</v>
      </c>
      <c r="F265" s="609" t="s">
        <v>1058</v>
      </c>
      <c r="G265" s="610">
        <v>7</v>
      </c>
      <c r="H265" s="610">
        <v>6.4333333333333336</v>
      </c>
      <c r="I265" s="611" t="s">
        <v>669</v>
      </c>
      <c r="J265" s="616">
        <v>1350</v>
      </c>
      <c r="K265" s="613">
        <v>1240</v>
      </c>
      <c r="L265" s="616">
        <v>1428</v>
      </c>
      <c r="M265" s="616">
        <v>1555</v>
      </c>
      <c r="N265" s="614">
        <v>1322.1185</v>
      </c>
      <c r="O265" s="648"/>
      <c r="P265" s="648"/>
      <c r="R265" s="626"/>
      <c r="T265" s="633"/>
      <c r="U265" s="634"/>
    </row>
    <row r="266" spans="2:21" ht="19.149999999999999" customHeight="1">
      <c r="B266" s="606" t="s">
        <v>2099</v>
      </c>
      <c r="C266" s="654">
        <v>12</v>
      </c>
      <c r="D266" s="607">
        <v>550</v>
      </c>
      <c r="E266" s="608">
        <v>713000</v>
      </c>
      <c r="F266" s="609" t="s">
        <v>454</v>
      </c>
      <c r="G266" s="610"/>
      <c r="H266" s="610"/>
      <c r="I266" s="611" t="s">
        <v>44</v>
      </c>
      <c r="J266" s="616">
        <v>10</v>
      </c>
      <c r="K266" s="613">
        <v>10</v>
      </c>
      <c r="L266" s="616">
        <v>10</v>
      </c>
      <c r="M266" s="616">
        <v>10</v>
      </c>
      <c r="N266" s="614">
        <v>8.1432000000000002</v>
      </c>
      <c r="O266" s="648"/>
      <c r="P266" s="648"/>
      <c r="R266" s="626"/>
      <c r="T266" s="633"/>
      <c r="U266" s="634"/>
    </row>
    <row r="267" spans="2:21" ht="19.149999999999999" customHeight="1">
      <c r="B267" s="606" t="s">
        <v>2099</v>
      </c>
      <c r="C267" s="654">
        <v>10</v>
      </c>
      <c r="D267" s="607">
        <v>570</v>
      </c>
      <c r="E267" s="608">
        <v>713000</v>
      </c>
      <c r="F267" s="609" t="s">
        <v>608</v>
      </c>
      <c r="G267" s="610"/>
      <c r="H267" s="610"/>
      <c r="I267" s="611" t="s">
        <v>175</v>
      </c>
      <c r="J267" s="616">
        <v>50</v>
      </c>
      <c r="K267" s="613">
        <v>47</v>
      </c>
      <c r="L267" s="616">
        <v>54</v>
      </c>
      <c r="M267" s="616">
        <v>54</v>
      </c>
      <c r="N267" s="614">
        <v>43.454269999999994</v>
      </c>
      <c r="O267" s="648"/>
      <c r="P267" s="648"/>
      <c r="R267" s="626"/>
      <c r="T267" s="633"/>
      <c r="U267" s="634"/>
    </row>
    <row r="268" spans="2:21" ht="19.149999999999999" customHeight="1">
      <c r="B268" s="606" t="s">
        <v>2099</v>
      </c>
      <c r="C268" s="654">
        <v>9</v>
      </c>
      <c r="D268" s="607">
        <v>780</v>
      </c>
      <c r="E268" s="608">
        <v>713000</v>
      </c>
      <c r="F268" s="609" t="s">
        <v>1871</v>
      </c>
      <c r="G268" s="610"/>
      <c r="H268" s="610"/>
      <c r="I268" s="611" t="s">
        <v>44</v>
      </c>
      <c r="J268" s="616">
        <v>15</v>
      </c>
      <c r="K268" s="613">
        <v>15</v>
      </c>
      <c r="L268" s="616">
        <v>15</v>
      </c>
      <c r="M268" s="616">
        <v>30</v>
      </c>
      <c r="N268" s="614">
        <v>15.61472</v>
      </c>
      <c r="O268" s="648"/>
      <c r="P268" s="648"/>
      <c r="R268" s="626"/>
      <c r="T268" s="633"/>
      <c r="U268" s="634"/>
    </row>
    <row r="269" spans="2:21" ht="19.149999999999999" customHeight="1">
      <c r="B269" s="747"/>
      <c r="C269" s="656"/>
      <c r="D269" s="618"/>
      <c r="E269" s="619" t="s">
        <v>635</v>
      </c>
      <c r="F269" s="620" t="s">
        <v>664</v>
      </c>
      <c r="G269" s="621">
        <f>SUM(G265:G268)</f>
        <v>7</v>
      </c>
      <c r="H269" s="621">
        <f>SUM(H265:H268)</f>
        <v>6.4333333333333336</v>
      </c>
      <c r="I269" s="622"/>
      <c r="J269" s="623">
        <f>SUM(J265:J268)</f>
        <v>1425</v>
      </c>
      <c r="K269" s="624">
        <f>SUM(K265:K268)</f>
        <v>1312</v>
      </c>
      <c r="L269" s="623">
        <f>SUM(L265:L268)</f>
        <v>1507</v>
      </c>
      <c r="M269" s="623">
        <f>SUM(M265:M268)</f>
        <v>1649</v>
      </c>
      <c r="N269" s="625">
        <f>SUM(N265:N268)</f>
        <v>1389.33069</v>
      </c>
      <c r="O269" s="648"/>
      <c r="P269" s="648"/>
      <c r="R269" s="626"/>
      <c r="T269" s="633"/>
      <c r="U269" s="632"/>
    </row>
    <row r="270" spans="2:21" ht="19.149999999999999" customHeight="1">
      <c r="B270" s="704"/>
      <c r="C270" s="684"/>
      <c r="D270" s="705"/>
      <c r="E270" s="695" t="s">
        <v>636</v>
      </c>
      <c r="F270" s="687" t="s">
        <v>254</v>
      </c>
      <c r="G270" s="706"/>
      <c r="H270" s="706"/>
      <c r="I270" s="707"/>
      <c r="J270" s="690"/>
      <c r="K270" s="693"/>
      <c r="L270" s="690"/>
      <c r="M270" s="690"/>
      <c r="N270" s="708"/>
      <c r="O270" s="648"/>
      <c r="P270" s="648"/>
      <c r="R270" s="626"/>
      <c r="T270" s="633"/>
      <c r="U270" s="632"/>
    </row>
    <row r="271" spans="2:21" ht="19.149999999999999" customHeight="1">
      <c r="B271" s="606" t="s">
        <v>254</v>
      </c>
      <c r="C271" s="655">
        <v>3</v>
      </c>
      <c r="D271" s="615">
        <v>100</v>
      </c>
      <c r="E271" s="608">
        <v>714000</v>
      </c>
      <c r="F271" s="609" t="s">
        <v>1058</v>
      </c>
      <c r="G271" s="610">
        <v>9.5</v>
      </c>
      <c r="H271" s="610">
        <v>9.5</v>
      </c>
      <c r="I271" s="611" t="s">
        <v>669</v>
      </c>
      <c r="J271" s="616">
        <v>2796</v>
      </c>
      <c r="K271" s="613">
        <v>2733</v>
      </c>
      <c r="L271" s="616">
        <v>2859</v>
      </c>
      <c r="M271" s="616">
        <v>2917</v>
      </c>
      <c r="N271" s="614">
        <v>2731.16194</v>
      </c>
      <c r="O271" s="648"/>
      <c r="P271" s="648"/>
      <c r="R271" s="626"/>
      <c r="T271" s="633"/>
      <c r="U271" s="634"/>
    </row>
    <row r="272" spans="2:21" ht="19.149999999999999" customHeight="1">
      <c r="B272" s="606" t="s">
        <v>254</v>
      </c>
      <c r="C272" s="654">
        <v>3</v>
      </c>
      <c r="D272" s="607">
        <v>430</v>
      </c>
      <c r="E272" s="608">
        <v>714000</v>
      </c>
      <c r="F272" s="609" t="s">
        <v>1315</v>
      </c>
      <c r="G272" s="610"/>
      <c r="H272" s="610"/>
      <c r="I272" s="611" t="s">
        <v>175</v>
      </c>
      <c r="J272" s="616">
        <v>45</v>
      </c>
      <c r="K272" s="613">
        <v>40</v>
      </c>
      <c r="L272" s="616">
        <v>52</v>
      </c>
      <c r="M272" s="616">
        <v>52</v>
      </c>
      <c r="N272" s="614">
        <v>35.116250000000001</v>
      </c>
      <c r="O272" s="648"/>
      <c r="P272" s="648"/>
      <c r="R272" s="626"/>
      <c r="T272" s="633"/>
      <c r="U272" s="634"/>
    </row>
    <row r="273" spans="2:21" ht="19.149999999999999" customHeight="1">
      <c r="B273" s="606" t="s">
        <v>254</v>
      </c>
      <c r="C273" s="654">
        <v>5</v>
      </c>
      <c r="D273" s="607">
        <v>530</v>
      </c>
      <c r="E273" s="608">
        <v>714000</v>
      </c>
      <c r="F273" s="701" t="s">
        <v>1549</v>
      </c>
      <c r="G273" s="610"/>
      <c r="H273" s="610"/>
      <c r="I273" s="611" t="s">
        <v>175</v>
      </c>
      <c r="J273" s="616">
        <v>65</v>
      </c>
      <c r="K273" s="613">
        <v>65</v>
      </c>
      <c r="L273" s="616">
        <v>70</v>
      </c>
      <c r="M273" s="616">
        <v>70</v>
      </c>
      <c r="N273" s="614">
        <v>61.73413</v>
      </c>
      <c r="O273" s="648"/>
      <c r="P273" s="648"/>
      <c r="R273" s="626"/>
      <c r="T273" s="633"/>
      <c r="U273" s="634"/>
    </row>
    <row r="274" spans="2:21" ht="19.149999999999999" customHeight="1">
      <c r="B274" s="606" t="s">
        <v>254</v>
      </c>
      <c r="C274" s="654">
        <v>10</v>
      </c>
      <c r="D274" s="607">
        <v>540</v>
      </c>
      <c r="E274" s="608">
        <v>714000</v>
      </c>
      <c r="F274" s="609" t="s">
        <v>1648</v>
      </c>
      <c r="G274" s="610"/>
      <c r="H274" s="610"/>
      <c r="I274" s="611" t="s">
        <v>175</v>
      </c>
      <c r="J274" s="616">
        <v>2</v>
      </c>
      <c r="K274" s="613">
        <v>2</v>
      </c>
      <c r="L274" s="616">
        <v>2</v>
      </c>
      <c r="M274" s="616">
        <v>2</v>
      </c>
      <c r="N274" s="614">
        <v>2.17848</v>
      </c>
      <c r="O274" s="648"/>
      <c r="P274" s="648"/>
      <c r="R274" s="626"/>
      <c r="T274" s="633"/>
      <c r="U274" s="634"/>
    </row>
    <row r="275" spans="2:21" ht="19.149999999999999" customHeight="1">
      <c r="B275" s="606" t="s">
        <v>254</v>
      </c>
      <c r="C275" s="654">
        <v>12</v>
      </c>
      <c r="D275" s="607">
        <v>550</v>
      </c>
      <c r="E275" s="608">
        <v>714000</v>
      </c>
      <c r="F275" s="609" t="s">
        <v>455</v>
      </c>
      <c r="G275" s="610"/>
      <c r="H275" s="610"/>
      <c r="I275" s="611" t="s">
        <v>44</v>
      </c>
      <c r="J275" s="616">
        <v>15</v>
      </c>
      <c r="K275" s="613">
        <v>15</v>
      </c>
      <c r="L275" s="616">
        <v>15</v>
      </c>
      <c r="M275" s="616">
        <v>15</v>
      </c>
      <c r="N275" s="614">
        <v>12.500870000000001</v>
      </c>
      <c r="O275" s="648"/>
      <c r="P275" s="648"/>
      <c r="R275" s="626"/>
      <c r="T275" s="633"/>
      <c r="U275" s="634"/>
    </row>
    <row r="276" spans="2:21" ht="19.149999999999999" customHeight="1">
      <c r="B276" s="606" t="s">
        <v>254</v>
      </c>
      <c r="C276" s="654">
        <v>3</v>
      </c>
      <c r="D276" s="607">
        <v>720</v>
      </c>
      <c r="E276" s="608">
        <v>714000</v>
      </c>
      <c r="F276" s="609" t="s">
        <v>1015</v>
      </c>
      <c r="G276" s="610"/>
      <c r="H276" s="610"/>
      <c r="I276" s="611" t="s">
        <v>44</v>
      </c>
      <c r="J276" s="616">
        <v>210</v>
      </c>
      <c r="K276" s="613">
        <v>203</v>
      </c>
      <c r="L276" s="616">
        <v>203</v>
      </c>
      <c r="M276" s="616">
        <v>210</v>
      </c>
      <c r="N276" s="614">
        <v>193.57154</v>
      </c>
      <c r="O276" s="648"/>
      <c r="P276" s="648"/>
      <c r="R276" s="626"/>
      <c r="T276" s="633"/>
      <c r="U276" s="634"/>
    </row>
    <row r="277" spans="2:21" ht="19.149999999999999" customHeight="1">
      <c r="B277" s="606" t="s">
        <v>254</v>
      </c>
      <c r="C277" s="654">
        <v>3</v>
      </c>
      <c r="D277" s="607">
        <v>721</v>
      </c>
      <c r="E277" s="608">
        <v>714000</v>
      </c>
      <c r="F277" s="609" t="s">
        <v>1806</v>
      </c>
      <c r="G277" s="610"/>
      <c r="H277" s="610"/>
      <c r="I277" s="611" t="s">
        <v>44</v>
      </c>
      <c r="J277" s="616">
        <v>38</v>
      </c>
      <c r="K277" s="613">
        <v>40</v>
      </c>
      <c r="L277" s="616">
        <v>40</v>
      </c>
      <c r="M277" s="616">
        <v>40</v>
      </c>
      <c r="N277" s="614">
        <v>24.577990000000003</v>
      </c>
      <c r="O277" s="648"/>
      <c r="P277" s="648"/>
      <c r="R277" s="626"/>
      <c r="T277" s="633"/>
      <c r="U277" s="634"/>
    </row>
    <row r="278" spans="2:21" ht="19.149999999999999" customHeight="1">
      <c r="B278" s="606" t="s">
        <v>254</v>
      </c>
      <c r="C278" s="654">
        <v>5</v>
      </c>
      <c r="D278" s="607">
        <v>730</v>
      </c>
      <c r="E278" s="608">
        <v>714000</v>
      </c>
      <c r="F278" s="609" t="s">
        <v>1553</v>
      </c>
      <c r="G278" s="610"/>
      <c r="H278" s="610"/>
      <c r="I278" s="611" t="s">
        <v>175</v>
      </c>
      <c r="J278" s="616">
        <v>142</v>
      </c>
      <c r="K278" s="613">
        <v>120</v>
      </c>
      <c r="L278" s="616">
        <v>142</v>
      </c>
      <c r="M278" s="616">
        <v>70</v>
      </c>
      <c r="N278" s="614">
        <v>84.174410000000009</v>
      </c>
      <c r="O278" s="648"/>
      <c r="P278" s="648"/>
      <c r="R278" s="626"/>
      <c r="T278" s="633"/>
      <c r="U278" s="634"/>
    </row>
    <row r="279" spans="2:21" ht="19.149999999999999" customHeight="1">
      <c r="B279" s="606" t="s">
        <v>254</v>
      </c>
      <c r="C279" s="654">
        <v>3</v>
      </c>
      <c r="D279" s="607">
        <v>740</v>
      </c>
      <c r="E279" s="608">
        <v>714000</v>
      </c>
      <c r="F279" s="609" t="s">
        <v>474</v>
      </c>
      <c r="G279" s="610"/>
      <c r="H279" s="610"/>
      <c r="I279" s="611" t="s">
        <v>44</v>
      </c>
      <c r="J279" s="616">
        <v>19</v>
      </c>
      <c r="K279" s="613">
        <v>10</v>
      </c>
      <c r="L279" s="616">
        <v>10</v>
      </c>
      <c r="M279" s="616">
        <v>20</v>
      </c>
      <c r="N279" s="614">
        <v>13.97419</v>
      </c>
      <c r="O279" s="648"/>
      <c r="P279" s="648"/>
      <c r="R279" s="626"/>
      <c r="T279" s="633"/>
      <c r="U279" s="634"/>
    </row>
    <row r="280" spans="2:21" ht="19.149999999999999" customHeight="1">
      <c r="B280" s="606" t="s">
        <v>254</v>
      </c>
      <c r="C280" s="654">
        <v>5</v>
      </c>
      <c r="D280" s="607">
        <v>750</v>
      </c>
      <c r="E280" s="608">
        <v>714000</v>
      </c>
      <c r="F280" s="609" t="s">
        <v>361</v>
      </c>
      <c r="G280" s="610"/>
      <c r="H280" s="610"/>
      <c r="I280" s="611" t="s">
        <v>175</v>
      </c>
      <c r="J280" s="616">
        <v>88</v>
      </c>
      <c r="K280" s="613">
        <v>87</v>
      </c>
      <c r="L280" s="616">
        <v>87</v>
      </c>
      <c r="M280" s="616">
        <v>85</v>
      </c>
      <c r="N280" s="614">
        <v>85.334199999999996</v>
      </c>
      <c r="O280" s="648"/>
      <c r="P280" s="648"/>
      <c r="R280" s="626"/>
      <c r="T280" s="633"/>
      <c r="U280" s="634"/>
    </row>
    <row r="281" spans="2:21" ht="19.149999999999999" customHeight="1">
      <c r="B281" s="606" t="s">
        <v>254</v>
      </c>
      <c r="C281" s="654">
        <v>3</v>
      </c>
      <c r="D281" s="607">
        <v>755</v>
      </c>
      <c r="E281" s="608">
        <v>714000</v>
      </c>
      <c r="F281" s="609" t="s">
        <v>616</v>
      </c>
      <c r="G281" s="610"/>
      <c r="H281" s="610"/>
      <c r="I281" s="611" t="s">
        <v>44</v>
      </c>
      <c r="J281" s="616">
        <v>0</v>
      </c>
      <c r="K281" s="613">
        <v>0</v>
      </c>
      <c r="L281" s="616">
        <v>0</v>
      </c>
      <c r="M281" s="616">
        <v>0</v>
      </c>
      <c r="N281" s="614">
        <v>3.2890000000000001</v>
      </c>
      <c r="O281" s="648"/>
      <c r="P281" s="648"/>
      <c r="R281" s="626"/>
      <c r="T281" s="633"/>
      <c r="U281" s="634"/>
    </row>
    <row r="282" spans="2:21" ht="19.149999999999999" customHeight="1">
      <c r="B282" s="606" t="s">
        <v>254</v>
      </c>
      <c r="C282" s="654">
        <v>3</v>
      </c>
      <c r="D282" s="607">
        <v>980</v>
      </c>
      <c r="E282" s="608">
        <v>714000</v>
      </c>
      <c r="F282" s="609" t="s">
        <v>1064</v>
      </c>
      <c r="G282" s="610"/>
      <c r="H282" s="610"/>
      <c r="I282" s="611" t="s">
        <v>44</v>
      </c>
      <c r="J282" s="616">
        <v>150</v>
      </c>
      <c r="K282" s="613">
        <v>150</v>
      </c>
      <c r="L282" s="616">
        <v>150</v>
      </c>
      <c r="M282" s="616">
        <v>150</v>
      </c>
      <c r="N282" s="614">
        <v>146.619</v>
      </c>
      <c r="O282" s="648"/>
      <c r="P282" s="648"/>
      <c r="R282" s="626"/>
      <c r="T282" s="633"/>
      <c r="U282" s="634"/>
    </row>
    <row r="283" spans="2:21" ht="19.149999999999999" customHeight="1">
      <c r="B283" s="747"/>
      <c r="C283" s="656"/>
      <c r="D283" s="618"/>
      <c r="E283" s="619" t="s">
        <v>636</v>
      </c>
      <c r="F283" s="620" t="s">
        <v>1161</v>
      </c>
      <c r="G283" s="621">
        <f>SUM(G270:G282)</f>
        <v>9.5</v>
      </c>
      <c r="H283" s="621">
        <f>SUM(H270:H282)</f>
        <v>9.5</v>
      </c>
      <c r="I283" s="622"/>
      <c r="J283" s="623">
        <f>SUM(J270:J282)</f>
        <v>3570</v>
      </c>
      <c r="K283" s="623">
        <f>SUM(K270:K282)</f>
        <v>3465</v>
      </c>
      <c r="L283" s="623">
        <f>SUM(L270:L282)</f>
        <v>3630</v>
      </c>
      <c r="M283" s="623">
        <f>SUM(M270:M282)</f>
        <v>3631</v>
      </c>
      <c r="N283" s="625">
        <f>SUM(N271:N282)</f>
        <v>3394.232</v>
      </c>
      <c r="O283" s="648"/>
      <c r="P283" s="648"/>
      <c r="R283" s="626"/>
      <c r="T283" s="633"/>
      <c r="U283" s="632"/>
    </row>
    <row r="284" spans="2:21" ht="19.149999999999999" customHeight="1">
      <c r="B284" s="704"/>
      <c r="C284" s="684"/>
      <c r="D284" s="705"/>
      <c r="E284" s="695" t="s">
        <v>1119</v>
      </c>
      <c r="F284" s="687" t="s">
        <v>1120</v>
      </c>
      <c r="G284" s="706"/>
      <c r="H284" s="706"/>
      <c r="I284" s="707"/>
      <c r="J284" s="690"/>
      <c r="K284" s="693"/>
      <c r="L284" s="690"/>
      <c r="M284" s="690"/>
      <c r="N284" s="708"/>
      <c r="O284" s="648"/>
      <c r="P284" s="648"/>
      <c r="R284" s="626"/>
      <c r="T284" s="633"/>
      <c r="U284" s="632"/>
    </row>
    <row r="285" spans="2:21" ht="19.149999999999999" customHeight="1">
      <c r="B285" s="606" t="s">
        <v>1120</v>
      </c>
      <c r="C285" s="654">
        <v>3</v>
      </c>
      <c r="D285" s="607">
        <v>750</v>
      </c>
      <c r="E285" s="608">
        <v>715000</v>
      </c>
      <c r="F285" s="703" t="s">
        <v>759</v>
      </c>
      <c r="G285" s="610"/>
      <c r="H285" s="610"/>
      <c r="I285" s="611" t="s">
        <v>175</v>
      </c>
      <c r="J285" s="616">
        <v>440</v>
      </c>
      <c r="K285" s="613">
        <v>420</v>
      </c>
      <c r="L285" s="616">
        <v>420</v>
      </c>
      <c r="M285" s="616">
        <v>400</v>
      </c>
      <c r="N285" s="614">
        <v>397.71951000000001</v>
      </c>
      <c r="O285" s="648"/>
      <c r="P285" s="648"/>
      <c r="R285" s="626"/>
      <c r="T285" s="633"/>
      <c r="U285" s="634"/>
    </row>
    <row r="286" spans="2:21" ht="19.149999999999999" customHeight="1">
      <c r="B286" s="606" t="s">
        <v>1120</v>
      </c>
      <c r="C286" s="654">
        <v>3</v>
      </c>
      <c r="D286" s="607">
        <v>751</v>
      </c>
      <c r="E286" s="608">
        <v>715000</v>
      </c>
      <c r="F286" s="609" t="s">
        <v>1954</v>
      </c>
      <c r="G286" s="610"/>
      <c r="H286" s="610"/>
      <c r="I286" s="611" t="s">
        <v>175</v>
      </c>
      <c r="J286" s="616">
        <v>142</v>
      </c>
      <c r="K286" s="613">
        <v>142</v>
      </c>
      <c r="L286" s="616">
        <v>142</v>
      </c>
      <c r="M286" s="616">
        <v>142</v>
      </c>
      <c r="N286" s="614">
        <v>0</v>
      </c>
      <c r="O286" s="648"/>
      <c r="P286" s="648"/>
      <c r="R286" s="626"/>
      <c r="T286" s="633"/>
      <c r="U286" s="634"/>
    </row>
    <row r="287" spans="2:21" ht="19.149999999999999" customHeight="1">
      <c r="B287" s="747"/>
      <c r="C287" s="656"/>
      <c r="D287" s="618"/>
      <c r="E287" s="619" t="s">
        <v>1119</v>
      </c>
      <c r="F287" s="620" t="s">
        <v>1122</v>
      </c>
      <c r="G287" s="621">
        <f>SUM(G285)</f>
        <v>0</v>
      </c>
      <c r="H287" s="621">
        <f>SUM(H285)</f>
        <v>0</v>
      </c>
      <c r="I287" s="622"/>
      <c r="J287" s="623">
        <f>SUM(J285:J286)</f>
        <v>582</v>
      </c>
      <c r="K287" s="624">
        <f>SUM(K285:K286)</f>
        <v>562</v>
      </c>
      <c r="L287" s="623">
        <f>SUM(L285:L286)</f>
        <v>562</v>
      </c>
      <c r="M287" s="623">
        <f>SUM(M285:M286)</f>
        <v>542</v>
      </c>
      <c r="N287" s="625">
        <f>SUM(N285:N286)</f>
        <v>397.71951000000001</v>
      </c>
      <c r="O287" s="648"/>
      <c r="P287" s="648"/>
      <c r="R287" s="626"/>
      <c r="T287" s="633"/>
      <c r="U287" s="632"/>
    </row>
    <row r="288" spans="2:21" ht="19.149999999999999" customHeight="1">
      <c r="B288" s="617"/>
      <c r="C288" s="656"/>
      <c r="D288" s="618"/>
      <c r="E288" s="619" t="s">
        <v>486</v>
      </c>
      <c r="F288" s="620" t="s">
        <v>500</v>
      </c>
      <c r="G288" s="621">
        <f>SUMIF($E$232:$E$287,"*.",G232:G287)</f>
        <v>47</v>
      </c>
      <c r="H288" s="621">
        <f>SUMIF($E$232:$E$287,"*.",H232:H287)</f>
        <v>45.133333333333333</v>
      </c>
      <c r="I288" s="622"/>
      <c r="J288" s="623">
        <f>SUMIF($E$232:$E$287,"*.",J232:J287)</f>
        <v>78248</v>
      </c>
      <c r="K288" s="624">
        <f>SUMIF($E$232:$E$287,"*.",K232:K287)</f>
        <v>75071</v>
      </c>
      <c r="L288" s="623">
        <f>SUMIF($E$232:$E$287,"*.",L232:L287)</f>
        <v>75792</v>
      </c>
      <c r="M288" s="623">
        <f>SUMIF($E$232:$E$287,"*.",M232:M287)</f>
        <v>76251</v>
      </c>
      <c r="N288" s="625">
        <f>SUMIF($E$232:$E$287,"*.",N232:N287)</f>
        <v>72596.567599999995</v>
      </c>
      <c r="O288" s="648"/>
      <c r="P288" s="648"/>
      <c r="R288" s="626"/>
      <c r="T288" s="633"/>
      <c r="U288" s="632"/>
    </row>
    <row r="289" spans="2:21" ht="19.149999999999999" customHeight="1">
      <c r="B289" s="704"/>
      <c r="C289" s="684"/>
      <c r="D289" s="705"/>
      <c r="E289" s="695" t="s">
        <v>1140</v>
      </c>
      <c r="F289" s="687" t="s">
        <v>1141</v>
      </c>
      <c r="G289" s="706"/>
      <c r="H289" s="706"/>
      <c r="I289" s="723"/>
      <c r="J289" s="690"/>
      <c r="K289" s="693"/>
      <c r="L289" s="690"/>
      <c r="M289" s="690"/>
      <c r="N289" s="708"/>
      <c r="O289" s="648"/>
      <c r="P289" s="648"/>
      <c r="R289" s="626"/>
      <c r="T289" s="633"/>
      <c r="U289" s="632"/>
    </row>
    <row r="290" spans="2:21" ht="19.149999999999999" customHeight="1">
      <c r="B290" s="704"/>
      <c r="C290" s="684"/>
      <c r="D290" s="705"/>
      <c r="E290" s="695" t="s">
        <v>1142</v>
      </c>
      <c r="F290" s="687" t="s">
        <v>1143</v>
      </c>
      <c r="G290" s="706"/>
      <c r="H290" s="706"/>
      <c r="I290" s="707"/>
      <c r="J290" s="690"/>
      <c r="K290" s="693"/>
      <c r="L290" s="690"/>
      <c r="M290" s="690"/>
      <c r="N290" s="708"/>
      <c r="O290" s="648"/>
      <c r="P290" s="648"/>
      <c r="R290" s="626"/>
      <c r="T290" s="633"/>
      <c r="U290" s="632"/>
    </row>
    <row r="291" spans="2:21" ht="19.149999999999999" customHeight="1">
      <c r="B291" s="606" t="s">
        <v>1143</v>
      </c>
      <c r="C291" s="655">
        <v>9</v>
      </c>
      <c r="D291" s="615">
        <v>100</v>
      </c>
      <c r="E291" s="608">
        <v>721000</v>
      </c>
      <c r="F291" s="609" t="s">
        <v>1058</v>
      </c>
      <c r="G291" s="610">
        <v>5</v>
      </c>
      <c r="H291" s="610">
        <v>4</v>
      </c>
      <c r="I291" s="611" t="s">
        <v>669</v>
      </c>
      <c r="J291" s="616">
        <f>820+220</f>
        <v>1040</v>
      </c>
      <c r="K291" s="613">
        <v>800</v>
      </c>
      <c r="L291" s="616">
        <v>865</v>
      </c>
      <c r="M291" s="616">
        <v>882</v>
      </c>
      <c r="N291" s="614">
        <v>748.02078000000006</v>
      </c>
      <c r="O291" s="648"/>
      <c r="P291" s="648"/>
      <c r="R291" s="626"/>
      <c r="T291" s="633"/>
      <c r="U291" s="634"/>
    </row>
    <row r="292" spans="2:21" ht="14">
      <c r="B292" s="606" t="s">
        <v>1143</v>
      </c>
      <c r="C292" s="655">
        <v>9</v>
      </c>
      <c r="D292" s="615">
        <v>101</v>
      </c>
      <c r="E292" s="608">
        <v>721000</v>
      </c>
      <c r="F292" s="609" t="s">
        <v>1536</v>
      </c>
      <c r="G292" s="610">
        <v>3</v>
      </c>
      <c r="H292" s="610">
        <v>3</v>
      </c>
      <c r="I292" s="611" t="s">
        <v>669</v>
      </c>
      <c r="J292" s="616">
        <v>772</v>
      </c>
      <c r="K292" s="613">
        <v>755</v>
      </c>
      <c r="L292" s="616">
        <v>799</v>
      </c>
      <c r="M292" s="616">
        <v>815</v>
      </c>
      <c r="N292" s="614">
        <v>731.67547999999999</v>
      </c>
      <c r="O292" s="648"/>
      <c r="P292" s="648"/>
      <c r="R292" s="626"/>
      <c r="T292" s="633"/>
      <c r="U292" s="634"/>
    </row>
    <row r="293" spans="2:21" ht="28">
      <c r="B293" s="606" t="s">
        <v>1143</v>
      </c>
      <c r="C293" s="654">
        <v>5</v>
      </c>
      <c r="D293" s="607">
        <v>423</v>
      </c>
      <c r="E293" s="608">
        <v>721000</v>
      </c>
      <c r="F293" s="609" t="s">
        <v>1342</v>
      </c>
      <c r="G293" s="610"/>
      <c r="H293" s="610"/>
      <c r="I293" s="611" t="s">
        <v>175</v>
      </c>
      <c r="J293" s="616">
        <v>25</v>
      </c>
      <c r="K293" s="613">
        <v>25</v>
      </c>
      <c r="L293" s="616">
        <v>25</v>
      </c>
      <c r="M293" s="616">
        <v>25</v>
      </c>
      <c r="N293" s="614">
        <v>0.55000000000000004</v>
      </c>
      <c r="O293" s="648"/>
      <c r="P293" s="648"/>
      <c r="R293" s="626"/>
      <c r="T293" s="633"/>
      <c r="U293" s="634"/>
    </row>
    <row r="294" spans="2:21" ht="19.149999999999999" customHeight="1">
      <c r="B294" s="606" t="s">
        <v>1143</v>
      </c>
      <c r="C294" s="654">
        <v>9</v>
      </c>
      <c r="D294" s="607">
        <v>470</v>
      </c>
      <c r="E294" s="608">
        <v>721000</v>
      </c>
      <c r="F294" s="609" t="s">
        <v>343</v>
      </c>
      <c r="G294" s="610"/>
      <c r="H294" s="610"/>
      <c r="I294" s="611" t="s">
        <v>44</v>
      </c>
      <c r="J294" s="616">
        <v>51</v>
      </c>
      <c r="K294" s="613">
        <v>51</v>
      </c>
      <c r="L294" s="616">
        <v>51</v>
      </c>
      <c r="M294" s="616">
        <v>51</v>
      </c>
      <c r="N294" s="614">
        <v>48.862130000000001</v>
      </c>
      <c r="O294" s="648"/>
      <c r="P294" s="648"/>
      <c r="R294" s="626"/>
      <c r="T294" s="633"/>
      <c r="U294" s="634"/>
    </row>
    <row r="295" spans="2:21" ht="19.149999999999999" customHeight="1">
      <c r="B295" s="606" t="s">
        <v>1143</v>
      </c>
      <c r="C295" s="654">
        <v>9</v>
      </c>
      <c r="D295" s="607">
        <v>511</v>
      </c>
      <c r="E295" s="608">
        <v>721000</v>
      </c>
      <c r="F295" s="609" t="s">
        <v>1682</v>
      </c>
      <c r="G295" s="610"/>
      <c r="H295" s="610"/>
      <c r="I295" s="611" t="s">
        <v>44</v>
      </c>
      <c r="J295" s="616">
        <v>54</v>
      </c>
      <c r="K295" s="613">
        <v>54</v>
      </c>
      <c r="L295" s="616">
        <v>54</v>
      </c>
      <c r="M295" s="616">
        <v>54</v>
      </c>
      <c r="N295" s="614">
        <v>53.999809999999997</v>
      </c>
      <c r="O295" s="648"/>
      <c r="P295" s="648"/>
      <c r="R295" s="626"/>
      <c r="T295" s="633"/>
      <c r="U295" s="634"/>
    </row>
    <row r="296" spans="2:21" ht="19.149999999999999" customHeight="1">
      <c r="B296" s="606" t="s">
        <v>1143</v>
      </c>
      <c r="C296" s="654">
        <v>5</v>
      </c>
      <c r="D296" s="607">
        <v>530</v>
      </c>
      <c r="E296" s="608">
        <v>721000</v>
      </c>
      <c r="F296" s="701" t="s">
        <v>1549</v>
      </c>
      <c r="G296" s="610"/>
      <c r="H296" s="610"/>
      <c r="I296" s="611" t="s">
        <v>175</v>
      </c>
      <c r="J296" s="616">
        <v>77</v>
      </c>
      <c r="K296" s="613">
        <v>77</v>
      </c>
      <c r="L296" s="616">
        <v>75</v>
      </c>
      <c r="M296" s="616">
        <v>75</v>
      </c>
      <c r="N296" s="614">
        <v>73.727940000000004</v>
      </c>
      <c r="O296" s="648"/>
      <c r="P296" s="648"/>
      <c r="R296" s="626"/>
      <c r="T296" s="633"/>
      <c r="U296" s="634"/>
    </row>
    <row r="297" spans="2:21" ht="14">
      <c r="B297" s="606" t="s">
        <v>1143</v>
      </c>
      <c r="C297" s="654">
        <v>10</v>
      </c>
      <c r="D297" s="607">
        <v>540</v>
      </c>
      <c r="E297" s="608">
        <v>721000</v>
      </c>
      <c r="F297" s="609" t="s">
        <v>1649</v>
      </c>
      <c r="G297" s="610"/>
      <c r="H297" s="610"/>
      <c r="I297" s="611" t="s">
        <v>175</v>
      </c>
      <c r="J297" s="616">
        <v>21</v>
      </c>
      <c r="K297" s="613">
        <v>21</v>
      </c>
      <c r="L297" s="616">
        <v>21</v>
      </c>
      <c r="M297" s="616">
        <v>17</v>
      </c>
      <c r="N297" s="614">
        <v>17.406020000000002</v>
      </c>
      <c r="O297" s="648"/>
      <c r="P297" s="648"/>
      <c r="R297" s="626"/>
      <c r="T297" s="633"/>
      <c r="U297" s="634"/>
    </row>
    <row r="298" spans="2:21" ht="14">
      <c r="B298" s="606" t="s">
        <v>1143</v>
      </c>
      <c r="C298" s="654">
        <v>9</v>
      </c>
      <c r="D298" s="607">
        <v>541</v>
      </c>
      <c r="E298" s="608">
        <v>721000</v>
      </c>
      <c r="F298" s="609" t="s">
        <v>2397</v>
      </c>
      <c r="G298" s="610"/>
      <c r="H298" s="610"/>
      <c r="I298" s="611" t="s">
        <v>175</v>
      </c>
      <c r="J298" s="616">
        <v>26</v>
      </c>
      <c r="K298" s="613">
        <v>26</v>
      </c>
      <c r="L298" s="616">
        <v>26</v>
      </c>
      <c r="M298" s="616">
        <v>26</v>
      </c>
      <c r="N298" s="614">
        <v>20.594339999999999</v>
      </c>
      <c r="O298" s="648"/>
      <c r="P298" s="648"/>
      <c r="R298" s="626"/>
      <c r="T298" s="633"/>
      <c r="U298" s="634"/>
    </row>
    <row r="299" spans="2:21" ht="19.149999999999999" customHeight="1">
      <c r="B299" s="606" t="s">
        <v>1143</v>
      </c>
      <c r="C299" s="654">
        <v>10</v>
      </c>
      <c r="D299" s="607">
        <v>570</v>
      </c>
      <c r="E299" s="608">
        <v>721000</v>
      </c>
      <c r="F299" s="609" t="s">
        <v>608</v>
      </c>
      <c r="G299" s="610"/>
      <c r="H299" s="610"/>
      <c r="I299" s="611" t="s">
        <v>175</v>
      </c>
      <c r="J299" s="616">
        <v>20</v>
      </c>
      <c r="K299" s="613">
        <v>15</v>
      </c>
      <c r="L299" s="616">
        <v>15</v>
      </c>
      <c r="M299" s="616">
        <v>20</v>
      </c>
      <c r="N299" s="614">
        <v>17.916</v>
      </c>
      <c r="O299" s="648"/>
      <c r="P299" s="648"/>
      <c r="R299" s="626"/>
      <c r="T299" s="633"/>
      <c r="U299" s="634"/>
    </row>
    <row r="300" spans="2:21" ht="19.149999999999999" customHeight="1">
      <c r="B300" s="606" t="s">
        <v>1143</v>
      </c>
      <c r="C300" s="654">
        <v>5</v>
      </c>
      <c r="D300" s="607">
        <v>730</v>
      </c>
      <c r="E300" s="608">
        <v>721000</v>
      </c>
      <c r="F300" s="609" t="s">
        <v>869</v>
      </c>
      <c r="G300" s="610"/>
      <c r="H300" s="610"/>
      <c r="I300" s="611" t="s">
        <v>175</v>
      </c>
      <c r="J300" s="616">
        <f>42+35</f>
        <v>77</v>
      </c>
      <c r="K300" s="613">
        <v>42</v>
      </c>
      <c r="L300" s="616">
        <v>42</v>
      </c>
      <c r="M300" s="616">
        <v>42</v>
      </c>
      <c r="N300" s="614">
        <v>30.321750000000002</v>
      </c>
      <c r="O300" s="648"/>
      <c r="P300" s="648"/>
      <c r="R300" s="626"/>
      <c r="T300" s="633"/>
      <c r="U300" s="634"/>
    </row>
    <row r="301" spans="2:21" ht="19.149999999999999" customHeight="1">
      <c r="B301" s="606" t="s">
        <v>1143</v>
      </c>
      <c r="C301" s="655">
        <v>5</v>
      </c>
      <c r="D301" s="615">
        <v>740</v>
      </c>
      <c r="E301" s="608">
        <v>721000</v>
      </c>
      <c r="F301" s="710" t="s">
        <v>697</v>
      </c>
      <c r="G301" s="610"/>
      <c r="H301" s="610"/>
      <c r="I301" s="611" t="s">
        <v>44</v>
      </c>
      <c r="J301" s="616">
        <v>131</v>
      </c>
      <c r="K301" s="613">
        <v>131</v>
      </c>
      <c r="L301" s="616">
        <v>131</v>
      </c>
      <c r="M301" s="616">
        <v>141</v>
      </c>
      <c r="N301" s="614">
        <v>134.34116</v>
      </c>
      <c r="O301" s="648"/>
      <c r="P301" s="648"/>
      <c r="R301" s="626"/>
      <c r="T301" s="633"/>
      <c r="U301" s="634"/>
    </row>
    <row r="302" spans="2:21" ht="19.149999999999999" customHeight="1">
      <c r="B302" s="606" t="s">
        <v>1143</v>
      </c>
      <c r="C302" s="655">
        <v>9</v>
      </c>
      <c r="D302" s="615">
        <v>755</v>
      </c>
      <c r="E302" s="608">
        <v>721000</v>
      </c>
      <c r="F302" s="710" t="s">
        <v>616</v>
      </c>
      <c r="G302" s="610"/>
      <c r="H302" s="610"/>
      <c r="I302" s="611" t="s">
        <v>44</v>
      </c>
      <c r="J302" s="616">
        <v>70</v>
      </c>
      <c r="K302" s="613">
        <v>60</v>
      </c>
      <c r="L302" s="616">
        <v>60</v>
      </c>
      <c r="M302" s="616">
        <v>80</v>
      </c>
      <c r="N302" s="614">
        <v>27.292999999999999</v>
      </c>
      <c r="O302" s="648"/>
      <c r="P302" s="648"/>
      <c r="R302" s="626"/>
      <c r="T302" s="633"/>
      <c r="U302" s="634"/>
    </row>
    <row r="303" spans="2:21" ht="19.149999999999999" customHeight="1">
      <c r="B303" s="606" t="s">
        <v>1143</v>
      </c>
      <c r="C303" s="654">
        <v>9</v>
      </c>
      <c r="D303" s="607">
        <v>780</v>
      </c>
      <c r="E303" s="608">
        <v>721000</v>
      </c>
      <c r="F303" s="609" t="s">
        <v>1833</v>
      </c>
      <c r="G303" s="610"/>
      <c r="H303" s="610"/>
      <c r="I303" s="611" t="s">
        <v>44</v>
      </c>
      <c r="J303" s="616">
        <v>120</v>
      </c>
      <c r="K303" s="613">
        <v>120</v>
      </c>
      <c r="L303" s="616">
        <v>120</v>
      </c>
      <c r="M303" s="616">
        <v>120</v>
      </c>
      <c r="N303" s="614">
        <v>117.39106</v>
      </c>
      <c r="O303" s="648"/>
      <c r="P303" s="648"/>
      <c r="R303" s="626"/>
      <c r="T303" s="633"/>
      <c r="U303" s="634"/>
    </row>
    <row r="304" spans="2:21" ht="19.149999999999999" customHeight="1">
      <c r="B304" s="606" t="s">
        <v>1143</v>
      </c>
      <c r="C304" s="654">
        <v>5</v>
      </c>
      <c r="D304" s="607">
        <v>781</v>
      </c>
      <c r="E304" s="608">
        <v>721000</v>
      </c>
      <c r="F304" s="609" t="s">
        <v>1338</v>
      </c>
      <c r="G304" s="610"/>
      <c r="H304" s="610"/>
      <c r="I304" s="611" t="s">
        <v>44</v>
      </c>
      <c r="J304" s="616">
        <v>55</v>
      </c>
      <c r="K304" s="613">
        <v>55</v>
      </c>
      <c r="L304" s="616">
        <v>55</v>
      </c>
      <c r="M304" s="616">
        <v>55</v>
      </c>
      <c r="N304" s="614">
        <v>54.310749999999999</v>
      </c>
      <c r="O304" s="648"/>
      <c r="P304" s="648"/>
      <c r="R304" s="626"/>
      <c r="T304" s="633"/>
      <c r="U304" s="634"/>
    </row>
    <row r="305" spans="2:25" ht="19.149999999999999" customHeight="1">
      <c r="B305" s="606" t="s">
        <v>1143</v>
      </c>
      <c r="C305" s="655">
        <v>5</v>
      </c>
      <c r="D305" s="615">
        <v>782</v>
      </c>
      <c r="E305" s="608">
        <v>721000</v>
      </c>
      <c r="F305" s="609" t="s">
        <v>1339</v>
      </c>
      <c r="G305" s="610"/>
      <c r="H305" s="610"/>
      <c r="I305" s="611" t="s">
        <v>44</v>
      </c>
      <c r="J305" s="616">
        <v>68</v>
      </c>
      <c r="K305" s="613">
        <v>68</v>
      </c>
      <c r="L305" s="616">
        <v>68</v>
      </c>
      <c r="M305" s="616">
        <v>78</v>
      </c>
      <c r="N305" s="614">
        <v>76.760800000000003</v>
      </c>
      <c r="O305" s="648"/>
      <c r="P305" s="648"/>
      <c r="R305" s="626"/>
      <c r="T305" s="633"/>
      <c r="U305" s="634"/>
    </row>
    <row r="306" spans="2:25" ht="19.149999999999999" customHeight="1">
      <c r="B306" s="606" t="s">
        <v>1143</v>
      </c>
      <c r="C306" s="655">
        <v>9</v>
      </c>
      <c r="D306" s="615">
        <v>783</v>
      </c>
      <c r="E306" s="608">
        <v>721000</v>
      </c>
      <c r="F306" s="609" t="s">
        <v>2083</v>
      </c>
      <c r="G306" s="610"/>
      <c r="H306" s="610"/>
      <c r="I306" s="611" t="s">
        <v>44</v>
      </c>
      <c r="J306" s="616">
        <v>80</v>
      </c>
      <c r="K306" s="613">
        <v>70</v>
      </c>
      <c r="L306" s="616">
        <v>70</v>
      </c>
      <c r="M306" s="616">
        <v>85</v>
      </c>
      <c r="N306" s="614">
        <v>26.103900000000003</v>
      </c>
      <c r="O306" s="648"/>
      <c r="P306" s="648"/>
      <c r="R306" s="626"/>
      <c r="T306" s="633"/>
      <c r="U306" s="634"/>
    </row>
    <row r="307" spans="2:25" ht="19.149999999999999" customHeight="1">
      <c r="B307" s="606" t="s">
        <v>1143</v>
      </c>
      <c r="C307" s="655">
        <v>9</v>
      </c>
      <c r="D307" s="615">
        <v>960</v>
      </c>
      <c r="E307" s="608">
        <v>721000</v>
      </c>
      <c r="F307" s="609" t="s">
        <v>902</v>
      </c>
      <c r="G307" s="610"/>
      <c r="H307" s="610"/>
      <c r="I307" s="611" t="s">
        <v>44</v>
      </c>
      <c r="J307" s="616">
        <v>201</v>
      </c>
      <c r="K307" s="613">
        <v>201</v>
      </c>
      <c r="L307" s="616">
        <v>201</v>
      </c>
      <c r="M307" s="616">
        <v>264</v>
      </c>
      <c r="N307" s="614">
        <v>250.29817</v>
      </c>
      <c r="O307" s="648"/>
      <c r="P307" s="648"/>
      <c r="R307" s="626"/>
      <c r="T307" s="633"/>
      <c r="U307" s="634"/>
    </row>
    <row r="308" spans="2:25" ht="19.149999999999999" customHeight="1">
      <c r="B308" s="747"/>
      <c r="C308" s="656"/>
      <c r="D308" s="618"/>
      <c r="E308" s="619" t="s">
        <v>1142</v>
      </c>
      <c r="F308" s="620" t="s">
        <v>523</v>
      </c>
      <c r="G308" s="621">
        <f>SUM(G291:G307)</f>
        <v>8</v>
      </c>
      <c r="H308" s="621">
        <f>SUM(H291:H307)</f>
        <v>7</v>
      </c>
      <c r="I308" s="622"/>
      <c r="J308" s="623">
        <f>SUM(J291:J307)</f>
        <v>2888</v>
      </c>
      <c r="K308" s="624">
        <f>SUM(K291:K307)</f>
        <v>2571</v>
      </c>
      <c r="L308" s="623">
        <f>SUM(L291:L307)</f>
        <v>2678</v>
      </c>
      <c r="M308" s="623">
        <f>SUM(M291:M307)</f>
        <v>2830</v>
      </c>
      <c r="N308" s="625">
        <f>SUM(N291:N307)</f>
        <v>2429.5730899999999</v>
      </c>
      <c r="O308" s="648"/>
      <c r="P308" s="648"/>
      <c r="R308" s="626"/>
      <c r="T308" s="633"/>
      <c r="U308" s="632"/>
    </row>
    <row r="309" spans="2:25" ht="19.149999999999999" customHeight="1">
      <c r="B309" s="704"/>
      <c r="C309" s="684"/>
      <c r="D309" s="705"/>
      <c r="E309" s="695" t="s">
        <v>524</v>
      </c>
      <c r="F309" s="687" t="s">
        <v>86</v>
      </c>
      <c r="G309" s="706"/>
      <c r="H309" s="706"/>
      <c r="I309" s="707"/>
      <c r="J309" s="690"/>
      <c r="K309" s="693"/>
      <c r="L309" s="690"/>
      <c r="M309" s="690"/>
      <c r="N309" s="708"/>
      <c r="O309" s="648"/>
      <c r="P309" s="648"/>
      <c r="R309" s="626"/>
      <c r="T309" s="633"/>
      <c r="U309" s="632"/>
    </row>
    <row r="310" spans="2:25" ht="19.149999999999999" customHeight="1">
      <c r="B310" s="606" t="s">
        <v>86</v>
      </c>
      <c r="C310" s="654">
        <v>9</v>
      </c>
      <c r="D310" s="607">
        <v>430</v>
      </c>
      <c r="E310" s="608">
        <v>722100</v>
      </c>
      <c r="F310" s="609" t="s">
        <v>192</v>
      </c>
      <c r="G310" s="610"/>
      <c r="H310" s="610"/>
      <c r="I310" s="611" t="s">
        <v>175</v>
      </c>
      <c r="J310" s="616">
        <v>3</v>
      </c>
      <c r="K310" s="613">
        <v>3</v>
      </c>
      <c r="L310" s="616">
        <v>3</v>
      </c>
      <c r="M310" s="616">
        <v>3</v>
      </c>
      <c r="N310" s="614">
        <v>2.59131</v>
      </c>
      <c r="O310" s="648"/>
      <c r="P310" s="648"/>
      <c r="R310" s="626"/>
      <c r="T310" s="633"/>
      <c r="U310" s="634"/>
    </row>
    <row r="311" spans="2:25" ht="19.149999999999999" customHeight="1">
      <c r="B311" s="606" t="s">
        <v>86</v>
      </c>
      <c r="C311" s="654">
        <v>9</v>
      </c>
      <c r="D311" s="607">
        <v>511</v>
      </c>
      <c r="E311" s="608">
        <v>722100</v>
      </c>
      <c r="F311" s="609" t="s">
        <v>557</v>
      </c>
      <c r="G311" s="610"/>
      <c r="H311" s="610"/>
      <c r="I311" s="611" t="s">
        <v>44</v>
      </c>
      <c r="J311" s="616">
        <v>12</v>
      </c>
      <c r="K311" s="613">
        <v>12</v>
      </c>
      <c r="L311" s="616">
        <v>12</v>
      </c>
      <c r="M311" s="616">
        <v>12</v>
      </c>
      <c r="N311" s="614">
        <v>11.266959999999999</v>
      </c>
      <c r="O311" s="648"/>
      <c r="P311" s="648"/>
      <c r="R311" s="626"/>
      <c r="T311" s="633"/>
      <c r="U311" s="634"/>
    </row>
    <row r="312" spans="2:25" ht="19.149999999999999" customHeight="1">
      <c r="B312" s="606" t="s">
        <v>86</v>
      </c>
      <c r="C312" s="654">
        <v>10</v>
      </c>
      <c r="D312" s="607">
        <v>540</v>
      </c>
      <c r="E312" s="608">
        <v>722100</v>
      </c>
      <c r="F312" s="609" t="s">
        <v>1648</v>
      </c>
      <c r="G312" s="610"/>
      <c r="H312" s="610"/>
      <c r="I312" s="611" t="s">
        <v>175</v>
      </c>
      <c r="J312" s="616">
        <v>3</v>
      </c>
      <c r="K312" s="613">
        <v>3</v>
      </c>
      <c r="L312" s="616">
        <v>3</v>
      </c>
      <c r="M312" s="616">
        <v>3</v>
      </c>
      <c r="N312" s="614">
        <v>3.41886</v>
      </c>
      <c r="O312" s="648"/>
      <c r="P312" s="648"/>
      <c r="R312" s="626"/>
      <c r="T312" s="633"/>
      <c r="U312" s="634"/>
    </row>
    <row r="313" spans="2:25" ht="19.149999999999999" customHeight="1">
      <c r="B313" s="606" t="s">
        <v>86</v>
      </c>
      <c r="C313" s="654">
        <v>12</v>
      </c>
      <c r="D313" s="607">
        <v>550</v>
      </c>
      <c r="E313" s="608">
        <v>722100</v>
      </c>
      <c r="F313" s="609" t="s">
        <v>558</v>
      </c>
      <c r="G313" s="610"/>
      <c r="H313" s="610"/>
      <c r="I313" s="611" t="s">
        <v>44</v>
      </c>
      <c r="J313" s="616">
        <v>1</v>
      </c>
      <c r="K313" s="613">
        <v>0</v>
      </c>
      <c r="L313" s="616">
        <v>1</v>
      </c>
      <c r="M313" s="616">
        <v>1</v>
      </c>
      <c r="N313" s="614">
        <v>0</v>
      </c>
      <c r="O313" s="648"/>
      <c r="P313" s="648"/>
      <c r="R313" s="626"/>
      <c r="T313" s="633"/>
      <c r="U313" s="634"/>
    </row>
    <row r="314" spans="2:25" ht="19.149999999999999" customHeight="1">
      <c r="B314" s="606" t="s">
        <v>86</v>
      </c>
      <c r="C314" s="654">
        <v>5</v>
      </c>
      <c r="D314" s="607">
        <v>750</v>
      </c>
      <c r="E314" s="608">
        <v>722100</v>
      </c>
      <c r="F314" s="609" t="s">
        <v>361</v>
      </c>
      <c r="G314" s="610"/>
      <c r="H314" s="610"/>
      <c r="I314" s="611" t="s">
        <v>175</v>
      </c>
      <c r="J314" s="616">
        <v>16</v>
      </c>
      <c r="K314" s="613">
        <v>16</v>
      </c>
      <c r="L314" s="616">
        <v>16</v>
      </c>
      <c r="M314" s="616">
        <v>16</v>
      </c>
      <c r="N314" s="614">
        <v>15.876670000000001</v>
      </c>
      <c r="O314" s="648"/>
      <c r="P314" s="648"/>
      <c r="R314" s="626"/>
      <c r="T314" s="633"/>
      <c r="U314" s="634"/>
    </row>
    <row r="315" spans="2:25" ht="19.149999999999999" customHeight="1">
      <c r="B315" s="606" t="s">
        <v>86</v>
      </c>
      <c r="C315" s="654">
        <v>9</v>
      </c>
      <c r="D315" s="607">
        <v>780</v>
      </c>
      <c r="E315" s="608">
        <v>722100</v>
      </c>
      <c r="F315" s="609" t="s">
        <v>1872</v>
      </c>
      <c r="G315" s="610"/>
      <c r="H315" s="610"/>
      <c r="I315" s="611" t="s">
        <v>44</v>
      </c>
      <c r="J315" s="616">
        <v>38</v>
      </c>
      <c r="K315" s="613">
        <v>38</v>
      </c>
      <c r="L315" s="616">
        <v>38</v>
      </c>
      <c r="M315" s="616">
        <v>38</v>
      </c>
      <c r="N315" s="614">
        <v>37.192120000000003</v>
      </c>
      <c r="O315" s="648"/>
      <c r="P315" s="648"/>
      <c r="R315" s="626"/>
      <c r="T315" s="633"/>
      <c r="U315" s="634"/>
    </row>
    <row r="316" spans="2:25" ht="19.149999999999999" customHeight="1">
      <c r="B316" s="747"/>
      <c r="C316" s="656"/>
      <c r="D316" s="618"/>
      <c r="E316" s="619" t="s">
        <v>524</v>
      </c>
      <c r="F316" s="620" t="s">
        <v>559</v>
      </c>
      <c r="G316" s="621">
        <f>SUM(G310:G315)</f>
        <v>0</v>
      </c>
      <c r="H316" s="621">
        <f>SUM(H310:H315)</f>
        <v>0</v>
      </c>
      <c r="I316" s="622"/>
      <c r="J316" s="623">
        <f>SUM(J310:J315)</f>
        <v>73</v>
      </c>
      <c r="K316" s="624">
        <f>SUM(K310:K315)</f>
        <v>72</v>
      </c>
      <c r="L316" s="623">
        <f>SUM(L310:L315)</f>
        <v>73</v>
      </c>
      <c r="M316" s="623">
        <f>SUM(M310:M315)</f>
        <v>73</v>
      </c>
      <c r="N316" s="625">
        <f>SUM(N310:N315)</f>
        <v>70.345920000000007</v>
      </c>
      <c r="O316" s="648"/>
      <c r="P316" s="648"/>
      <c r="R316" s="626"/>
      <c r="T316" s="633"/>
      <c r="U316" s="632"/>
    </row>
    <row r="317" spans="2:25" ht="19.149999999999999" customHeight="1">
      <c r="B317" s="704"/>
      <c r="C317" s="684"/>
      <c r="D317" s="705"/>
      <c r="E317" s="695" t="s">
        <v>442</v>
      </c>
      <c r="F317" s="687" t="s">
        <v>1406</v>
      </c>
      <c r="G317" s="706"/>
      <c r="H317" s="706"/>
      <c r="I317" s="707"/>
      <c r="J317" s="690"/>
      <c r="K317" s="693"/>
      <c r="L317" s="690"/>
      <c r="M317" s="690"/>
      <c r="N317" s="708"/>
      <c r="O317" s="648"/>
      <c r="P317" s="648"/>
      <c r="R317" s="626"/>
      <c r="T317" s="633"/>
      <c r="U317" s="632"/>
    </row>
    <row r="318" spans="2:25" ht="19.149999999999999" customHeight="1">
      <c r="B318" s="606" t="s">
        <v>1406</v>
      </c>
      <c r="C318" s="655">
        <v>9</v>
      </c>
      <c r="D318" s="615">
        <v>101</v>
      </c>
      <c r="E318" s="608">
        <v>722700</v>
      </c>
      <c r="F318" s="609" t="s">
        <v>1407</v>
      </c>
      <c r="G318" s="610">
        <v>22</v>
      </c>
      <c r="H318" s="610">
        <v>21.64063333333333</v>
      </c>
      <c r="I318" s="611" t="s">
        <v>669</v>
      </c>
      <c r="J318" s="616">
        <f>4180+540-120</f>
        <v>4600</v>
      </c>
      <c r="K318" s="613">
        <v>3920</v>
      </c>
      <c r="L318" s="616">
        <v>4326</v>
      </c>
      <c r="M318" s="616">
        <v>4414</v>
      </c>
      <c r="N318" s="614">
        <v>3605.2989300000004</v>
      </c>
      <c r="O318" s="648"/>
      <c r="P318" s="648"/>
      <c r="R318" s="626"/>
      <c r="T318" s="633"/>
      <c r="U318" s="634"/>
      <c r="Y318" s="657"/>
    </row>
    <row r="319" spans="2:25" ht="19.149999999999999" customHeight="1">
      <c r="B319" s="606" t="s">
        <v>1406</v>
      </c>
      <c r="C319" s="654">
        <v>9</v>
      </c>
      <c r="D319" s="607">
        <v>127</v>
      </c>
      <c r="E319" s="608">
        <v>722700</v>
      </c>
      <c r="F319" s="609" t="s">
        <v>1653</v>
      </c>
      <c r="G319" s="610">
        <v>0</v>
      </c>
      <c r="H319" s="610">
        <v>0</v>
      </c>
      <c r="I319" s="611" t="s">
        <v>669</v>
      </c>
      <c r="J319" s="616">
        <f>80+12</f>
        <v>92</v>
      </c>
      <c r="K319" s="613">
        <v>80</v>
      </c>
      <c r="L319" s="616">
        <v>80</v>
      </c>
      <c r="M319" s="616">
        <v>80</v>
      </c>
      <c r="N319" s="614">
        <v>51.51276</v>
      </c>
      <c r="O319" s="648"/>
      <c r="P319" s="648"/>
      <c r="R319" s="626"/>
      <c r="T319" s="633"/>
      <c r="U319" s="634"/>
      <c r="Y319" s="657"/>
    </row>
    <row r="320" spans="2:25" ht="19.149999999999999" customHeight="1">
      <c r="B320" s="606" t="s">
        <v>1406</v>
      </c>
      <c r="C320" s="654">
        <v>2</v>
      </c>
      <c r="D320" s="607">
        <v>410</v>
      </c>
      <c r="E320" s="608">
        <v>722700</v>
      </c>
      <c r="F320" s="609" t="s">
        <v>342</v>
      </c>
      <c r="G320" s="610"/>
      <c r="H320" s="610"/>
      <c r="I320" s="611" t="s">
        <v>175</v>
      </c>
      <c r="J320" s="616">
        <v>35</v>
      </c>
      <c r="K320" s="613">
        <v>35</v>
      </c>
      <c r="L320" s="616">
        <v>35</v>
      </c>
      <c r="M320" s="616">
        <v>35</v>
      </c>
      <c r="N320" s="614">
        <v>31.288</v>
      </c>
      <c r="O320" s="648"/>
      <c r="P320" s="648"/>
      <c r="R320" s="626"/>
      <c r="T320" s="633"/>
      <c r="U320" s="634"/>
    </row>
    <row r="321" spans="2:21" ht="19.149999999999999" customHeight="1">
      <c r="B321" s="606" t="s">
        <v>1406</v>
      </c>
      <c r="C321" s="654">
        <v>5</v>
      </c>
      <c r="D321" s="607">
        <v>730</v>
      </c>
      <c r="E321" s="608">
        <v>722700</v>
      </c>
      <c r="F321" s="609" t="s">
        <v>1408</v>
      </c>
      <c r="G321" s="610"/>
      <c r="H321" s="610"/>
      <c r="I321" s="611" t="s">
        <v>175</v>
      </c>
      <c r="J321" s="616">
        <f>480+120</f>
        <v>600</v>
      </c>
      <c r="K321" s="613">
        <v>480</v>
      </c>
      <c r="L321" s="616">
        <v>480</v>
      </c>
      <c r="M321" s="616">
        <v>480</v>
      </c>
      <c r="N321" s="614">
        <v>472.15062</v>
      </c>
      <c r="O321" s="648"/>
      <c r="P321" s="648"/>
      <c r="R321" s="626"/>
      <c r="T321" s="633"/>
      <c r="U321" s="634"/>
    </row>
    <row r="322" spans="2:21" ht="19.149999999999999" customHeight="1">
      <c r="B322" s="606" t="s">
        <v>1406</v>
      </c>
      <c r="C322" s="654">
        <v>9</v>
      </c>
      <c r="D322" s="607">
        <v>750</v>
      </c>
      <c r="E322" s="608">
        <v>722700</v>
      </c>
      <c r="F322" s="609" t="s">
        <v>1654</v>
      </c>
      <c r="G322" s="610"/>
      <c r="H322" s="610"/>
      <c r="I322" s="611" t="s">
        <v>175</v>
      </c>
      <c r="J322" s="616">
        <v>850</v>
      </c>
      <c r="K322" s="613">
        <v>650</v>
      </c>
      <c r="L322" s="616">
        <v>650</v>
      </c>
      <c r="M322" s="616">
        <v>650</v>
      </c>
      <c r="N322" s="614">
        <v>783.99996999999996</v>
      </c>
      <c r="O322" s="648"/>
      <c r="P322" s="648"/>
      <c r="R322" s="626"/>
      <c r="T322" s="633"/>
      <c r="U322" s="634"/>
    </row>
    <row r="323" spans="2:21" ht="19.149999999999999" customHeight="1">
      <c r="B323" s="606" t="s">
        <v>1406</v>
      </c>
      <c r="C323" s="654">
        <v>9</v>
      </c>
      <c r="D323" s="607">
        <v>780</v>
      </c>
      <c r="E323" s="608">
        <v>722700</v>
      </c>
      <c r="F323" s="609" t="s">
        <v>820</v>
      </c>
      <c r="G323" s="610"/>
      <c r="H323" s="610"/>
      <c r="I323" s="611" t="s">
        <v>44</v>
      </c>
      <c r="J323" s="616">
        <v>70</v>
      </c>
      <c r="K323" s="613">
        <v>81</v>
      </c>
      <c r="L323" s="616">
        <v>81</v>
      </c>
      <c r="M323" s="616">
        <v>81</v>
      </c>
      <c r="N323" s="614">
        <v>112.50238</v>
      </c>
      <c r="O323" s="648"/>
      <c r="P323" s="648"/>
      <c r="R323" s="626"/>
      <c r="T323" s="633"/>
      <c r="U323" s="634"/>
    </row>
    <row r="324" spans="2:21" ht="19.149999999999999" customHeight="1">
      <c r="B324" s="617"/>
      <c r="C324" s="656"/>
      <c r="D324" s="618"/>
      <c r="E324" s="619" t="s">
        <v>442</v>
      </c>
      <c r="F324" s="620" t="s">
        <v>1409</v>
      </c>
      <c r="G324" s="621">
        <f>SUM(G318:G323)</f>
        <v>22</v>
      </c>
      <c r="H324" s="621">
        <f>SUM(H318:H323)</f>
        <v>21.64063333333333</v>
      </c>
      <c r="I324" s="622"/>
      <c r="J324" s="623">
        <f>SUM(J318:J323)</f>
        <v>6247</v>
      </c>
      <c r="K324" s="624">
        <f>SUM(K318:K323)</f>
        <v>5246</v>
      </c>
      <c r="L324" s="623">
        <f>SUM(L318:L323)</f>
        <v>5652</v>
      </c>
      <c r="M324" s="623">
        <f>SUM(M318:M323)</f>
        <v>5740</v>
      </c>
      <c r="N324" s="625">
        <f>SUM(N318:N323)</f>
        <v>5056.7526600000001</v>
      </c>
      <c r="O324" s="648"/>
      <c r="P324" s="648"/>
      <c r="R324" s="626"/>
      <c r="T324" s="633"/>
      <c r="U324" s="632"/>
    </row>
    <row r="325" spans="2:21" ht="19.149999999999999" customHeight="1">
      <c r="B325" s="704"/>
      <c r="C325" s="684"/>
      <c r="D325" s="705"/>
      <c r="E325" s="695" t="s">
        <v>560</v>
      </c>
      <c r="F325" s="687" t="s">
        <v>561</v>
      </c>
      <c r="G325" s="706"/>
      <c r="H325" s="706"/>
      <c r="I325" s="707"/>
      <c r="J325" s="690"/>
      <c r="K325" s="693"/>
      <c r="L325" s="690"/>
      <c r="M325" s="690"/>
      <c r="N325" s="708"/>
      <c r="O325" s="648"/>
      <c r="P325" s="648"/>
      <c r="R325" s="626"/>
      <c r="T325" s="633"/>
      <c r="U325" s="632"/>
    </row>
    <row r="326" spans="2:21" ht="19.149999999999999" customHeight="1">
      <c r="B326" s="606" t="s">
        <v>297</v>
      </c>
      <c r="C326" s="654">
        <v>9</v>
      </c>
      <c r="D326" s="607">
        <v>100</v>
      </c>
      <c r="E326" s="608">
        <v>723000</v>
      </c>
      <c r="F326" s="609" t="s">
        <v>1058</v>
      </c>
      <c r="G326" s="610">
        <v>4.5</v>
      </c>
      <c r="H326" s="610">
        <v>4.47</v>
      </c>
      <c r="I326" s="611" t="s">
        <v>669</v>
      </c>
      <c r="J326" s="616">
        <v>707</v>
      </c>
      <c r="K326" s="613">
        <v>691</v>
      </c>
      <c r="L326" s="616">
        <v>727</v>
      </c>
      <c r="M326" s="616">
        <v>727</v>
      </c>
      <c r="N326" s="614">
        <v>688.49522999999999</v>
      </c>
      <c r="O326" s="648"/>
      <c r="P326" s="648"/>
      <c r="R326" s="626"/>
      <c r="T326" s="633"/>
      <c r="U326" s="634"/>
    </row>
    <row r="327" spans="2:21" ht="19.149999999999999" customHeight="1">
      <c r="B327" s="606" t="s">
        <v>297</v>
      </c>
      <c r="C327" s="654">
        <v>2</v>
      </c>
      <c r="D327" s="607">
        <v>411</v>
      </c>
      <c r="E327" s="608">
        <v>723000</v>
      </c>
      <c r="F327" s="609" t="s">
        <v>620</v>
      </c>
      <c r="G327" s="610"/>
      <c r="H327" s="610"/>
      <c r="I327" s="611" t="s">
        <v>175</v>
      </c>
      <c r="J327" s="616">
        <v>260</v>
      </c>
      <c r="K327" s="613">
        <v>260</v>
      </c>
      <c r="L327" s="616">
        <v>260</v>
      </c>
      <c r="M327" s="616">
        <v>260</v>
      </c>
      <c r="N327" s="614">
        <v>252.4366</v>
      </c>
      <c r="O327" s="648"/>
      <c r="P327" s="648"/>
      <c r="R327" s="626"/>
      <c r="T327" s="633"/>
      <c r="U327" s="634"/>
    </row>
    <row r="328" spans="2:21" ht="19.149999999999999" customHeight="1">
      <c r="B328" s="606" t="s">
        <v>297</v>
      </c>
      <c r="C328" s="654">
        <v>9</v>
      </c>
      <c r="D328" s="607">
        <v>420</v>
      </c>
      <c r="E328" s="608">
        <v>723000</v>
      </c>
      <c r="F328" s="609" t="s">
        <v>830</v>
      </c>
      <c r="G328" s="610"/>
      <c r="H328" s="610"/>
      <c r="I328" s="611" t="s">
        <v>175</v>
      </c>
      <c r="J328" s="616">
        <v>254</v>
      </c>
      <c r="K328" s="613">
        <v>254</v>
      </c>
      <c r="L328" s="616">
        <v>254</v>
      </c>
      <c r="M328" s="616">
        <v>254</v>
      </c>
      <c r="N328" s="614">
        <v>246.01045000000002</v>
      </c>
      <c r="O328" s="648"/>
      <c r="P328" s="648"/>
      <c r="R328" s="626"/>
      <c r="T328" s="633"/>
      <c r="U328" s="634"/>
    </row>
    <row r="329" spans="2:21" ht="19.149999999999999" customHeight="1">
      <c r="B329" s="606" t="s">
        <v>297</v>
      </c>
      <c r="C329" s="654">
        <v>9</v>
      </c>
      <c r="D329" s="607">
        <v>421</v>
      </c>
      <c r="E329" s="608">
        <v>723000</v>
      </c>
      <c r="F329" s="609" t="s">
        <v>1661</v>
      </c>
      <c r="G329" s="610"/>
      <c r="H329" s="610"/>
      <c r="I329" s="611" t="s">
        <v>175</v>
      </c>
      <c r="J329" s="616">
        <v>120</v>
      </c>
      <c r="K329" s="613">
        <v>120</v>
      </c>
      <c r="L329" s="616">
        <v>120</v>
      </c>
      <c r="M329" s="616">
        <v>120</v>
      </c>
      <c r="N329" s="614">
        <v>52.508150000000001</v>
      </c>
      <c r="O329" s="648"/>
      <c r="P329" s="648"/>
      <c r="R329" s="626"/>
      <c r="T329" s="633"/>
      <c r="U329" s="634"/>
    </row>
    <row r="330" spans="2:21" ht="19.149999999999999" customHeight="1">
      <c r="B330" s="606" t="s">
        <v>297</v>
      </c>
      <c r="C330" s="654">
        <v>9</v>
      </c>
      <c r="D330" s="607">
        <v>422</v>
      </c>
      <c r="E330" s="608">
        <v>723000</v>
      </c>
      <c r="F330" s="609" t="s">
        <v>1655</v>
      </c>
      <c r="G330" s="610"/>
      <c r="H330" s="610"/>
      <c r="I330" s="611" t="s">
        <v>175</v>
      </c>
      <c r="J330" s="616">
        <v>15</v>
      </c>
      <c r="K330" s="613">
        <v>15</v>
      </c>
      <c r="L330" s="616">
        <v>15</v>
      </c>
      <c r="M330" s="616">
        <v>20</v>
      </c>
      <c r="N330" s="614">
        <v>19.902000000000001</v>
      </c>
      <c r="O330" s="648"/>
      <c r="P330" s="648"/>
      <c r="R330" s="626"/>
      <c r="T330" s="633"/>
      <c r="U330" s="634"/>
    </row>
    <row r="331" spans="2:21" ht="19.149999999999999" customHeight="1">
      <c r="B331" s="606" t="s">
        <v>297</v>
      </c>
      <c r="C331" s="654">
        <v>9</v>
      </c>
      <c r="D331" s="607">
        <v>430</v>
      </c>
      <c r="E331" s="608">
        <v>723000</v>
      </c>
      <c r="F331" s="609" t="s">
        <v>192</v>
      </c>
      <c r="G331" s="610"/>
      <c r="H331" s="610"/>
      <c r="I331" s="611" t="s">
        <v>175</v>
      </c>
      <c r="J331" s="616">
        <v>90</v>
      </c>
      <c r="K331" s="613">
        <v>70</v>
      </c>
      <c r="L331" s="616">
        <v>114</v>
      </c>
      <c r="M331" s="616">
        <v>114</v>
      </c>
      <c r="N331" s="614">
        <v>76.525080000000003</v>
      </c>
      <c r="O331" s="648"/>
      <c r="P331" s="648"/>
      <c r="R331" s="626"/>
      <c r="T331" s="633"/>
      <c r="U331" s="634"/>
    </row>
    <row r="332" spans="2:21" ht="19.149999999999999" customHeight="1">
      <c r="B332" s="606" t="s">
        <v>297</v>
      </c>
      <c r="C332" s="654">
        <v>9</v>
      </c>
      <c r="D332" s="607">
        <v>432</v>
      </c>
      <c r="E332" s="608">
        <v>723000</v>
      </c>
      <c r="F332" s="609" t="s">
        <v>103</v>
      </c>
      <c r="G332" s="610"/>
      <c r="H332" s="610"/>
      <c r="I332" s="611" t="s">
        <v>175</v>
      </c>
      <c r="J332" s="616">
        <v>62</v>
      </c>
      <c r="K332" s="613">
        <v>62</v>
      </c>
      <c r="L332" s="616">
        <v>45</v>
      </c>
      <c r="M332" s="616">
        <v>45</v>
      </c>
      <c r="N332" s="614">
        <v>61.95881</v>
      </c>
      <c r="O332" s="648"/>
      <c r="P332" s="648"/>
      <c r="R332" s="626"/>
      <c r="T332" s="633"/>
      <c r="U332" s="634"/>
    </row>
    <row r="333" spans="2:21" ht="19.149999999999999" customHeight="1">
      <c r="B333" s="606" t="s">
        <v>297</v>
      </c>
      <c r="C333" s="654">
        <v>9</v>
      </c>
      <c r="D333" s="607">
        <v>440</v>
      </c>
      <c r="E333" s="608">
        <v>723000</v>
      </c>
      <c r="F333" s="609" t="s">
        <v>577</v>
      </c>
      <c r="G333" s="610"/>
      <c r="H333" s="610"/>
      <c r="I333" s="611" t="s">
        <v>175</v>
      </c>
      <c r="J333" s="616">
        <v>72</v>
      </c>
      <c r="K333" s="613">
        <v>72</v>
      </c>
      <c r="L333" s="616">
        <v>72</v>
      </c>
      <c r="M333" s="616">
        <v>72</v>
      </c>
      <c r="N333" s="614">
        <v>72</v>
      </c>
      <c r="O333" s="648"/>
      <c r="P333" s="648"/>
      <c r="R333" s="626"/>
      <c r="T333" s="633"/>
      <c r="U333" s="634"/>
    </row>
    <row r="334" spans="2:21" ht="19.149999999999999" customHeight="1">
      <c r="B334" s="606" t="s">
        <v>297</v>
      </c>
      <c r="C334" s="654">
        <v>10</v>
      </c>
      <c r="D334" s="607">
        <v>540</v>
      </c>
      <c r="E334" s="608">
        <v>723000</v>
      </c>
      <c r="F334" s="609" t="s">
        <v>1648</v>
      </c>
      <c r="G334" s="610"/>
      <c r="H334" s="610"/>
      <c r="I334" s="611" t="s">
        <v>175</v>
      </c>
      <c r="J334" s="616">
        <v>12</v>
      </c>
      <c r="K334" s="613">
        <v>10</v>
      </c>
      <c r="L334" s="616">
        <v>12</v>
      </c>
      <c r="M334" s="616">
        <v>12</v>
      </c>
      <c r="N334" s="614">
        <v>9.9197199999999999</v>
      </c>
      <c r="O334" s="648"/>
      <c r="P334" s="648"/>
      <c r="R334" s="626"/>
      <c r="T334" s="633"/>
      <c r="U334" s="634"/>
    </row>
    <row r="335" spans="2:21" ht="19.149999999999999" customHeight="1">
      <c r="B335" s="606" t="s">
        <v>297</v>
      </c>
      <c r="C335" s="654">
        <v>5</v>
      </c>
      <c r="D335" s="607">
        <v>730</v>
      </c>
      <c r="E335" s="608">
        <v>723000</v>
      </c>
      <c r="F335" s="609" t="s">
        <v>46</v>
      </c>
      <c r="G335" s="610"/>
      <c r="H335" s="610"/>
      <c r="I335" s="611" t="s">
        <v>175</v>
      </c>
      <c r="J335" s="616">
        <v>25</v>
      </c>
      <c r="K335" s="613">
        <v>25</v>
      </c>
      <c r="L335" s="616">
        <v>25</v>
      </c>
      <c r="M335" s="616">
        <v>25</v>
      </c>
      <c r="N335" s="614">
        <v>22.411080000000002</v>
      </c>
      <c r="O335" s="648"/>
      <c r="P335" s="648"/>
      <c r="R335" s="626"/>
      <c r="T335" s="633"/>
      <c r="U335" s="634"/>
    </row>
    <row r="336" spans="2:21" ht="19.149999999999999" customHeight="1">
      <c r="B336" s="606" t="s">
        <v>297</v>
      </c>
      <c r="C336" s="654">
        <v>9</v>
      </c>
      <c r="D336" s="607">
        <v>811</v>
      </c>
      <c r="E336" s="608">
        <v>723000</v>
      </c>
      <c r="F336" s="609" t="s">
        <v>89</v>
      </c>
      <c r="G336" s="610"/>
      <c r="H336" s="610"/>
      <c r="I336" s="611" t="s">
        <v>175</v>
      </c>
      <c r="J336" s="616">
        <v>645</v>
      </c>
      <c r="K336" s="613">
        <v>645</v>
      </c>
      <c r="L336" s="616">
        <v>645</v>
      </c>
      <c r="M336" s="616">
        <v>627</v>
      </c>
      <c r="N336" s="614">
        <v>580.96900000000005</v>
      </c>
      <c r="O336" s="648"/>
      <c r="P336" s="648"/>
      <c r="R336" s="626"/>
      <c r="T336" s="633"/>
      <c r="U336" s="634"/>
    </row>
    <row r="337" spans="2:24" ht="19.149999999999999" customHeight="1">
      <c r="B337" s="606" t="s">
        <v>297</v>
      </c>
      <c r="C337" s="654">
        <v>9</v>
      </c>
      <c r="D337" s="607">
        <v>812</v>
      </c>
      <c r="E337" s="608">
        <v>723000</v>
      </c>
      <c r="F337" s="609" t="s">
        <v>1727</v>
      </c>
      <c r="G337" s="610"/>
      <c r="H337" s="610"/>
      <c r="I337" s="611" t="s">
        <v>175</v>
      </c>
      <c r="J337" s="616">
        <v>7</v>
      </c>
      <c r="K337" s="613">
        <v>7</v>
      </c>
      <c r="L337" s="616">
        <v>7</v>
      </c>
      <c r="M337" s="616">
        <v>7</v>
      </c>
      <c r="N337" s="614">
        <v>0</v>
      </c>
      <c r="O337" s="648"/>
      <c r="P337" s="648"/>
      <c r="R337" s="626"/>
      <c r="T337" s="633"/>
      <c r="U337" s="634"/>
    </row>
    <row r="338" spans="2:24" ht="19.149999999999999" customHeight="1">
      <c r="B338" s="747"/>
      <c r="C338" s="656"/>
      <c r="D338" s="618"/>
      <c r="E338" s="619" t="s">
        <v>560</v>
      </c>
      <c r="F338" s="620" t="s">
        <v>578</v>
      </c>
      <c r="G338" s="621">
        <f>SUM(G326:G337)</f>
        <v>4.5</v>
      </c>
      <c r="H338" s="621">
        <f>SUM(H326:H337)</f>
        <v>4.47</v>
      </c>
      <c r="I338" s="622"/>
      <c r="J338" s="623">
        <f>SUM(J326:J337)</f>
        <v>2269</v>
      </c>
      <c r="K338" s="624">
        <f>SUM(K326:K337)</f>
        <v>2231</v>
      </c>
      <c r="L338" s="623">
        <f>SUM(L326:L337)</f>
        <v>2296</v>
      </c>
      <c r="M338" s="623">
        <f>SUM(M326:M337)</f>
        <v>2283</v>
      </c>
      <c r="N338" s="625">
        <f>SUM(N326:N337)</f>
        <v>2083.1361200000001</v>
      </c>
      <c r="O338" s="648"/>
      <c r="P338" s="648"/>
      <c r="R338" s="626"/>
      <c r="T338" s="633"/>
      <c r="U338" s="632"/>
    </row>
    <row r="339" spans="2:24" ht="19.149999999999999" customHeight="1">
      <c r="B339" s="704"/>
      <c r="C339" s="684"/>
      <c r="D339" s="705"/>
      <c r="E339" s="695" t="s">
        <v>579</v>
      </c>
      <c r="F339" s="687" t="s">
        <v>1035</v>
      </c>
      <c r="G339" s="706"/>
      <c r="H339" s="706"/>
      <c r="I339" s="707"/>
      <c r="J339" s="690"/>
      <c r="K339" s="693"/>
      <c r="L339" s="690"/>
      <c r="M339" s="690"/>
      <c r="N339" s="708"/>
      <c r="O339" s="648"/>
      <c r="P339" s="648"/>
      <c r="R339" s="626"/>
      <c r="T339" s="633"/>
      <c r="U339" s="632"/>
    </row>
    <row r="340" spans="2:24" ht="19.149999999999999" customHeight="1">
      <c r="B340" s="606" t="s">
        <v>1035</v>
      </c>
      <c r="C340" s="654">
        <v>9</v>
      </c>
      <c r="D340" s="607">
        <v>100</v>
      </c>
      <c r="E340" s="608">
        <v>726000</v>
      </c>
      <c r="F340" s="609" t="s">
        <v>848</v>
      </c>
      <c r="G340" s="610">
        <v>2</v>
      </c>
      <c r="H340" s="610">
        <v>1.6666666666666665</v>
      </c>
      <c r="I340" s="611" t="s">
        <v>669</v>
      </c>
      <c r="J340" s="612">
        <f>180+45</f>
        <v>225</v>
      </c>
      <c r="K340" s="613">
        <v>290</v>
      </c>
      <c r="L340" s="612">
        <v>309</v>
      </c>
      <c r="M340" s="612">
        <v>179</v>
      </c>
      <c r="N340" s="614">
        <v>173.42026999999999</v>
      </c>
      <c r="O340" s="648"/>
      <c r="P340" s="648"/>
      <c r="R340" s="626"/>
      <c r="T340" s="633"/>
      <c r="U340" s="635"/>
    </row>
    <row r="341" spans="2:24" ht="19.149999999999999" customHeight="1">
      <c r="B341" s="606" t="s">
        <v>1035</v>
      </c>
      <c r="C341" s="654">
        <v>10</v>
      </c>
      <c r="D341" s="607">
        <v>540</v>
      </c>
      <c r="E341" s="608">
        <v>726000</v>
      </c>
      <c r="F341" s="609" t="s">
        <v>1648</v>
      </c>
      <c r="G341" s="610"/>
      <c r="H341" s="610"/>
      <c r="I341" s="611" t="s">
        <v>175</v>
      </c>
      <c r="J341" s="612">
        <v>7</v>
      </c>
      <c r="K341" s="613">
        <v>7</v>
      </c>
      <c r="L341" s="612">
        <v>7</v>
      </c>
      <c r="M341" s="612">
        <v>7</v>
      </c>
      <c r="N341" s="614">
        <v>6.5976400000000002</v>
      </c>
      <c r="O341" s="648"/>
      <c r="P341" s="648"/>
      <c r="R341" s="626"/>
      <c r="T341" s="633"/>
      <c r="U341" s="635"/>
    </row>
    <row r="342" spans="2:24" ht="19.149999999999999" customHeight="1">
      <c r="B342" s="606" t="s">
        <v>1035</v>
      </c>
      <c r="C342" s="655">
        <v>9</v>
      </c>
      <c r="D342" s="615">
        <v>780</v>
      </c>
      <c r="E342" s="608">
        <v>726000</v>
      </c>
      <c r="F342" s="609" t="s">
        <v>1037</v>
      </c>
      <c r="G342" s="610"/>
      <c r="H342" s="610"/>
      <c r="I342" s="611" t="s">
        <v>44</v>
      </c>
      <c r="J342" s="616">
        <v>30</v>
      </c>
      <c r="K342" s="613">
        <v>65</v>
      </c>
      <c r="L342" s="616">
        <v>65</v>
      </c>
      <c r="M342" s="616">
        <v>80</v>
      </c>
      <c r="N342" s="614">
        <v>35.142540000000004</v>
      </c>
      <c r="O342" s="648"/>
      <c r="P342" s="648"/>
      <c r="R342" s="626"/>
      <c r="T342" s="633"/>
      <c r="U342" s="634"/>
    </row>
    <row r="343" spans="2:24" ht="19.149999999999999" customHeight="1">
      <c r="B343" s="617"/>
      <c r="C343" s="656"/>
      <c r="D343" s="618"/>
      <c r="E343" s="619" t="s">
        <v>579</v>
      </c>
      <c r="F343" s="620" t="s">
        <v>136</v>
      </c>
      <c r="G343" s="621">
        <f>SUM(G340:G342)</f>
        <v>2</v>
      </c>
      <c r="H343" s="621">
        <f>SUM(H340:H342)</f>
        <v>1.6666666666666665</v>
      </c>
      <c r="I343" s="622"/>
      <c r="J343" s="623">
        <f>SUM(J340:J342)</f>
        <v>262</v>
      </c>
      <c r="K343" s="624">
        <f>SUM(K340:K342)</f>
        <v>362</v>
      </c>
      <c r="L343" s="623">
        <f>SUM(L340:L342)</f>
        <v>381</v>
      </c>
      <c r="M343" s="623">
        <f>SUM(M340:M342)</f>
        <v>266</v>
      </c>
      <c r="N343" s="625">
        <f>SUM(N340:N342)</f>
        <v>215.16045</v>
      </c>
      <c r="O343" s="648"/>
      <c r="P343" s="648"/>
      <c r="R343" s="626"/>
      <c r="T343" s="633"/>
      <c r="U343" s="632"/>
    </row>
    <row r="344" spans="2:24" ht="19.149999999999999" customHeight="1">
      <c r="B344" s="704"/>
      <c r="C344" s="684"/>
      <c r="D344" s="705"/>
      <c r="E344" s="695" t="s">
        <v>2158</v>
      </c>
      <c r="F344" s="687" t="s">
        <v>2161</v>
      </c>
      <c r="G344" s="706"/>
      <c r="H344" s="706"/>
      <c r="I344" s="707"/>
      <c r="J344" s="690"/>
      <c r="K344" s="693"/>
      <c r="L344" s="690"/>
      <c r="M344" s="690"/>
      <c r="N344" s="708"/>
      <c r="O344" s="648"/>
      <c r="P344" s="648"/>
      <c r="R344" s="626"/>
      <c r="T344" s="633"/>
      <c r="U344" s="632"/>
    </row>
    <row r="345" spans="2:24" ht="19.149999999999999" customHeight="1">
      <c r="B345" s="606" t="s">
        <v>2162</v>
      </c>
      <c r="C345" s="654">
        <v>7</v>
      </c>
      <c r="D345" s="607">
        <v>100</v>
      </c>
      <c r="E345" s="608">
        <v>729998</v>
      </c>
      <c r="F345" s="609" t="s">
        <v>2163</v>
      </c>
      <c r="G345" s="610"/>
      <c r="H345" s="610"/>
      <c r="I345" s="611" t="s">
        <v>669</v>
      </c>
      <c r="J345" s="612">
        <v>0</v>
      </c>
      <c r="K345" s="613">
        <v>90</v>
      </c>
      <c r="L345" s="612">
        <v>90</v>
      </c>
      <c r="M345" s="612">
        <v>0</v>
      </c>
      <c r="N345" s="614">
        <v>0</v>
      </c>
      <c r="O345" s="648"/>
      <c r="P345" s="648"/>
      <c r="R345" s="626"/>
      <c r="T345" s="633"/>
      <c r="U345" s="635"/>
    </row>
    <row r="346" spans="2:24" ht="19.149999999999999" customHeight="1">
      <c r="B346" s="606" t="s">
        <v>2162</v>
      </c>
      <c r="C346" s="654">
        <v>7</v>
      </c>
      <c r="D346" s="607">
        <v>101</v>
      </c>
      <c r="E346" s="608">
        <v>729998</v>
      </c>
      <c r="F346" s="609" t="s">
        <v>2164</v>
      </c>
      <c r="G346" s="610"/>
      <c r="H346" s="610"/>
      <c r="I346" s="611" t="s">
        <v>669</v>
      </c>
      <c r="J346" s="612">
        <v>0</v>
      </c>
      <c r="K346" s="613">
        <v>46</v>
      </c>
      <c r="L346" s="612">
        <v>46</v>
      </c>
      <c r="M346" s="612">
        <v>0</v>
      </c>
      <c r="N346" s="614">
        <v>0</v>
      </c>
      <c r="O346" s="648"/>
      <c r="P346" s="648"/>
      <c r="R346" s="626"/>
      <c r="T346" s="633"/>
      <c r="U346" s="635"/>
    </row>
    <row r="347" spans="2:24" ht="19.149999999999999" customHeight="1">
      <c r="B347" s="606" t="s">
        <v>2162</v>
      </c>
      <c r="C347" s="655">
        <v>7</v>
      </c>
      <c r="D347" s="615">
        <v>100</v>
      </c>
      <c r="E347" s="608">
        <v>729999</v>
      </c>
      <c r="F347" s="609" t="s">
        <v>2165</v>
      </c>
      <c r="G347" s="610"/>
      <c r="H347" s="610"/>
      <c r="I347" s="611" t="s">
        <v>669</v>
      </c>
      <c r="J347" s="616">
        <v>0</v>
      </c>
      <c r="K347" s="613">
        <v>20</v>
      </c>
      <c r="L347" s="616">
        <v>20</v>
      </c>
      <c r="M347" s="616">
        <v>0</v>
      </c>
      <c r="N347" s="614">
        <v>0</v>
      </c>
      <c r="O347" s="648"/>
      <c r="P347" s="648"/>
      <c r="R347" s="626"/>
      <c r="T347" s="633"/>
      <c r="U347" s="634"/>
    </row>
    <row r="348" spans="2:24" ht="19.149999999999999" customHeight="1">
      <c r="B348" s="606" t="s">
        <v>2162</v>
      </c>
      <c r="C348" s="654">
        <v>7</v>
      </c>
      <c r="D348" s="607">
        <v>550</v>
      </c>
      <c r="E348" s="608">
        <v>729999</v>
      </c>
      <c r="F348" s="609" t="s">
        <v>2166</v>
      </c>
      <c r="G348" s="610"/>
      <c r="H348" s="610"/>
      <c r="I348" s="611" t="s">
        <v>44</v>
      </c>
      <c r="J348" s="612">
        <v>0</v>
      </c>
      <c r="K348" s="613">
        <v>82</v>
      </c>
      <c r="L348" s="612">
        <v>82</v>
      </c>
      <c r="M348" s="612">
        <v>0</v>
      </c>
      <c r="N348" s="614">
        <v>0</v>
      </c>
      <c r="O348" s="648"/>
      <c r="P348" s="648"/>
      <c r="R348" s="626"/>
      <c r="T348" s="633"/>
      <c r="U348" s="635"/>
    </row>
    <row r="349" spans="2:24" ht="19.149999999999999" customHeight="1">
      <c r="B349" s="606" t="s">
        <v>2162</v>
      </c>
      <c r="C349" s="654">
        <v>5</v>
      </c>
      <c r="D349" s="607">
        <v>863</v>
      </c>
      <c r="E349" s="608">
        <v>729999</v>
      </c>
      <c r="F349" s="748" t="s">
        <v>2177</v>
      </c>
      <c r="G349" s="610"/>
      <c r="H349" s="610"/>
      <c r="I349" s="611" t="s">
        <v>175</v>
      </c>
      <c r="J349" s="616">
        <v>3000</v>
      </c>
      <c r="K349" s="613">
        <v>0</v>
      </c>
      <c r="L349" s="616">
        <v>0</v>
      </c>
      <c r="M349" s="616">
        <v>0</v>
      </c>
      <c r="N349" s="614">
        <v>0</v>
      </c>
      <c r="O349" s="648"/>
      <c r="P349" s="648"/>
      <c r="Q349" s="653"/>
      <c r="R349" s="626"/>
      <c r="T349" s="633"/>
      <c r="U349" s="634"/>
      <c r="X349" s="653"/>
    </row>
    <row r="350" spans="2:24" ht="19.149999999999999" customHeight="1">
      <c r="B350" s="606" t="s">
        <v>2162</v>
      </c>
      <c r="C350" s="655">
        <v>7</v>
      </c>
      <c r="D350" s="615">
        <v>932</v>
      </c>
      <c r="E350" s="608">
        <v>729999</v>
      </c>
      <c r="F350" s="609" t="s">
        <v>2167</v>
      </c>
      <c r="G350" s="610"/>
      <c r="H350" s="610"/>
      <c r="I350" s="611" t="s">
        <v>44</v>
      </c>
      <c r="J350" s="616">
        <v>0</v>
      </c>
      <c r="K350" s="613">
        <v>82</v>
      </c>
      <c r="L350" s="616">
        <v>82</v>
      </c>
      <c r="M350" s="616">
        <v>0</v>
      </c>
      <c r="N350" s="614">
        <v>0</v>
      </c>
      <c r="O350" s="648"/>
      <c r="P350" s="648"/>
      <c r="R350" s="626"/>
      <c r="T350" s="633"/>
      <c r="U350" s="634"/>
    </row>
    <row r="351" spans="2:24" ht="19.149999999999999" customHeight="1">
      <c r="B351" s="617"/>
      <c r="C351" s="656"/>
      <c r="D351" s="618"/>
      <c r="E351" s="619" t="s">
        <v>2158</v>
      </c>
      <c r="F351" s="620" t="s">
        <v>2168</v>
      </c>
      <c r="G351" s="621">
        <f>SUM(G345:G350)</f>
        <v>0</v>
      </c>
      <c r="H351" s="621">
        <f>SUM(H345:H350)</f>
        <v>0</v>
      </c>
      <c r="I351" s="622"/>
      <c r="J351" s="623">
        <f>SUM(J345:J350)</f>
        <v>3000</v>
      </c>
      <c r="K351" s="624">
        <f>SUM(K345:K350)</f>
        <v>320</v>
      </c>
      <c r="L351" s="623">
        <f>SUM(L345:L350)</f>
        <v>320</v>
      </c>
      <c r="M351" s="623">
        <f>SUM(M345:M350)</f>
        <v>0</v>
      </c>
      <c r="N351" s="625">
        <f>SUM(N345:N350)</f>
        <v>0</v>
      </c>
      <c r="O351" s="648"/>
      <c r="P351" s="648"/>
      <c r="R351" s="626"/>
      <c r="T351" s="633"/>
      <c r="U351" s="632"/>
    </row>
    <row r="352" spans="2:24" ht="19.149999999999999" customHeight="1">
      <c r="B352" s="747"/>
      <c r="C352" s="656"/>
      <c r="D352" s="618"/>
      <c r="E352" s="619" t="s">
        <v>1140</v>
      </c>
      <c r="F352" s="620" t="s">
        <v>407</v>
      </c>
      <c r="G352" s="621">
        <f>SUMIF($E$289:$E$351,"*.",G289:G351)</f>
        <v>36.5</v>
      </c>
      <c r="H352" s="621">
        <f>SUMIF($E$289:$E$351,"*.",H289:H351)</f>
        <v>34.777299999999997</v>
      </c>
      <c r="I352" s="622"/>
      <c r="J352" s="623">
        <f>SUMIF($E$289:$E$351,"*.",J289:J351)</f>
        <v>14739</v>
      </c>
      <c r="K352" s="624">
        <f>SUMIF($E$289:$E$351,"*.",K289:K351)</f>
        <v>10802</v>
      </c>
      <c r="L352" s="623">
        <f>SUMIF($E$289:$E$351,"*.",L289:L351)</f>
        <v>11400</v>
      </c>
      <c r="M352" s="623">
        <f>SUMIF($E$289:$E$351,"*.",M289:M351)</f>
        <v>11192</v>
      </c>
      <c r="N352" s="625">
        <f>SUMIF($E$289:$E$351,"*.",N289:N351)</f>
        <v>9854.9682399999983</v>
      </c>
      <c r="O352" s="648"/>
      <c r="P352" s="648"/>
      <c r="R352" s="626"/>
      <c r="T352" s="633"/>
      <c r="U352" s="632"/>
    </row>
    <row r="353" spans="2:21" ht="19.149999999999999" customHeight="1">
      <c r="B353" s="704"/>
      <c r="C353" s="684"/>
      <c r="D353" s="705"/>
      <c r="E353" s="695" t="s">
        <v>1067</v>
      </c>
      <c r="F353" s="687" t="s">
        <v>568</v>
      </c>
      <c r="G353" s="706"/>
      <c r="H353" s="706"/>
      <c r="I353" s="723"/>
      <c r="J353" s="690"/>
      <c r="K353" s="693"/>
      <c r="L353" s="690"/>
      <c r="M353" s="690"/>
      <c r="N353" s="708"/>
      <c r="O353" s="648"/>
      <c r="P353" s="648"/>
      <c r="R353" s="626"/>
      <c r="T353" s="633"/>
      <c r="U353" s="632"/>
    </row>
    <row r="354" spans="2:21" ht="19.149999999999999" customHeight="1">
      <c r="B354" s="704"/>
      <c r="C354" s="684"/>
      <c r="D354" s="705"/>
      <c r="E354" s="695" t="s">
        <v>1068</v>
      </c>
      <c r="F354" s="687" t="s">
        <v>1069</v>
      </c>
      <c r="G354" s="706"/>
      <c r="H354" s="706"/>
      <c r="I354" s="707"/>
      <c r="J354" s="690"/>
      <c r="K354" s="693"/>
      <c r="L354" s="690"/>
      <c r="M354" s="690"/>
      <c r="N354" s="708"/>
      <c r="O354" s="648"/>
      <c r="P354" s="648"/>
      <c r="R354" s="626"/>
      <c r="T354" s="633"/>
      <c r="U354" s="632"/>
    </row>
    <row r="355" spans="2:21" ht="19.149999999999999" customHeight="1">
      <c r="B355" s="606" t="s">
        <v>1069</v>
      </c>
      <c r="C355" s="655">
        <v>4</v>
      </c>
      <c r="D355" s="615">
        <v>100</v>
      </c>
      <c r="E355" s="608">
        <v>731000</v>
      </c>
      <c r="F355" s="609" t="s">
        <v>1058</v>
      </c>
      <c r="G355" s="610">
        <v>11</v>
      </c>
      <c r="H355" s="610">
        <v>11.196233333333332</v>
      </c>
      <c r="I355" s="611" t="s">
        <v>669</v>
      </c>
      <c r="J355" s="616">
        <v>2660</v>
      </c>
      <c r="K355" s="613">
        <v>2600</v>
      </c>
      <c r="L355" s="616">
        <v>2561</v>
      </c>
      <c r="M355" s="616">
        <v>2740</v>
      </c>
      <c r="N355" s="614">
        <v>2061.2213200000001</v>
      </c>
      <c r="O355" s="648"/>
      <c r="P355" s="648"/>
      <c r="R355" s="626"/>
      <c r="T355" s="633"/>
      <c r="U355" s="634"/>
    </row>
    <row r="356" spans="2:21" ht="19.149999999999999" customHeight="1">
      <c r="B356" s="606" t="s">
        <v>1069</v>
      </c>
      <c r="C356" s="654">
        <v>4</v>
      </c>
      <c r="D356" s="607">
        <v>470</v>
      </c>
      <c r="E356" s="608">
        <v>731000</v>
      </c>
      <c r="F356" s="609" t="s">
        <v>286</v>
      </c>
      <c r="G356" s="610"/>
      <c r="H356" s="610"/>
      <c r="I356" s="611" t="s">
        <v>44</v>
      </c>
      <c r="J356" s="612">
        <v>110</v>
      </c>
      <c r="K356" s="613">
        <v>108</v>
      </c>
      <c r="L356" s="612">
        <v>108</v>
      </c>
      <c r="M356" s="612">
        <v>108</v>
      </c>
      <c r="N356" s="614">
        <v>105.01495</v>
      </c>
      <c r="O356" s="648"/>
      <c r="P356" s="648"/>
      <c r="R356" s="626"/>
      <c r="T356" s="633"/>
      <c r="U356" s="635"/>
    </row>
    <row r="357" spans="2:21" ht="19.149999999999999" customHeight="1">
      <c r="B357" s="606" t="s">
        <v>1069</v>
      </c>
      <c r="C357" s="655">
        <v>4</v>
      </c>
      <c r="D357" s="615">
        <v>511</v>
      </c>
      <c r="E357" s="608">
        <v>731000</v>
      </c>
      <c r="F357" s="703" t="s">
        <v>1312</v>
      </c>
      <c r="G357" s="610"/>
      <c r="H357" s="610"/>
      <c r="I357" s="611" t="s">
        <v>44</v>
      </c>
      <c r="J357" s="616">
        <v>46</v>
      </c>
      <c r="K357" s="613">
        <v>29</v>
      </c>
      <c r="L357" s="616">
        <v>29</v>
      </c>
      <c r="M357" s="616">
        <v>44</v>
      </c>
      <c r="N357" s="614">
        <v>26.84149</v>
      </c>
      <c r="O357" s="648"/>
      <c r="P357" s="648"/>
      <c r="R357" s="626"/>
      <c r="T357" s="633"/>
      <c r="U357" s="634"/>
    </row>
    <row r="358" spans="2:21" ht="19.149999999999999" customHeight="1">
      <c r="B358" s="606" t="s">
        <v>1069</v>
      </c>
      <c r="C358" s="654">
        <v>5</v>
      </c>
      <c r="D358" s="607">
        <v>530</v>
      </c>
      <c r="E358" s="608">
        <v>731000</v>
      </c>
      <c r="F358" s="701" t="s">
        <v>1549</v>
      </c>
      <c r="G358" s="610"/>
      <c r="H358" s="610"/>
      <c r="I358" s="611" t="s">
        <v>175</v>
      </c>
      <c r="J358" s="616">
        <v>85</v>
      </c>
      <c r="K358" s="613">
        <v>125</v>
      </c>
      <c r="L358" s="616">
        <v>140</v>
      </c>
      <c r="M358" s="616">
        <v>140</v>
      </c>
      <c r="N358" s="614">
        <v>123.30989</v>
      </c>
      <c r="O358" s="648"/>
      <c r="P358" s="648"/>
      <c r="R358" s="626"/>
      <c r="T358" s="633"/>
      <c r="U358" s="634"/>
    </row>
    <row r="359" spans="2:21" ht="19.149999999999999" customHeight="1">
      <c r="B359" s="606" t="s">
        <v>1069</v>
      </c>
      <c r="C359" s="654">
        <v>10</v>
      </c>
      <c r="D359" s="607">
        <v>540</v>
      </c>
      <c r="E359" s="608">
        <v>731000</v>
      </c>
      <c r="F359" s="609" t="s">
        <v>1648</v>
      </c>
      <c r="G359" s="610"/>
      <c r="H359" s="610"/>
      <c r="I359" s="611" t="s">
        <v>175</v>
      </c>
      <c r="J359" s="616">
        <v>25</v>
      </c>
      <c r="K359" s="613">
        <v>25</v>
      </c>
      <c r="L359" s="616">
        <v>25</v>
      </c>
      <c r="M359" s="616">
        <v>25</v>
      </c>
      <c r="N359" s="614">
        <v>19.30461</v>
      </c>
      <c r="O359" s="648"/>
      <c r="P359" s="648"/>
      <c r="R359" s="626"/>
      <c r="T359" s="633"/>
      <c r="U359" s="634"/>
    </row>
    <row r="360" spans="2:21" ht="19.149999999999999" customHeight="1">
      <c r="B360" s="606" t="s">
        <v>1069</v>
      </c>
      <c r="C360" s="655">
        <v>12</v>
      </c>
      <c r="D360" s="615">
        <v>550</v>
      </c>
      <c r="E360" s="608">
        <v>731000</v>
      </c>
      <c r="F360" s="609" t="s">
        <v>321</v>
      </c>
      <c r="G360" s="610"/>
      <c r="H360" s="610"/>
      <c r="I360" s="611" t="s">
        <v>44</v>
      </c>
      <c r="J360" s="616">
        <v>61</v>
      </c>
      <c r="K360" s="613">
        <v>51</v>
      </c>
      <c r="L360" s="616">
        <v>51</v>
      </c>
      <c r="M360" s="616">
        <v>61</v>
      </c>
      <c r="N360" s="614">
        <v>60.072269999999996</v>
      </c>
      <c r="O360" s="648"/>
      <c r="P360" s="648"/>
      <c r="R360" s="626"/>
      <c r="T360" s="633"/>
      <c r="U360" s="634"/>
    </row>
    <row r="361" spans="2:21" ht="19.149999999999999" customHeight="1">
      <c r="B361" s="606" t="s">
        <v>1069</v>
      </c>
      <c r="C361" s="655">
        <v>10</v>
      </c>
      <c r="D361" s="615">
        <v>570</v>
      </c>
      <c r="E361" s="608">
        <v>731000</v>
      </c>
      <c r="F361" s="609" t="s">
        <v>608</v>
      </c>
      <c r="G361" s="610"/>
      <c r="H361" s="610"/>
      <c r="I361" s="611" t="s">
        <v>175</v>
      </c>
      <c r="J361" s="616">
        <v>155</v>
      </c>
      <c r="K361" s="613">
        <v>189</v>
      </c>
      <c r="L361" s="616">
        <v>189</v>
      </c>
      <c r="M361" s="616">
        <v>155</v>
      </c>
      <c r="N361" s="614">
        <v>77.859899999999996</v>
      </c>
      <c r="O361" s="648"/>
      <c r="P361" s="648"/>
      <c r="R361" s="626"/>
      <c r="T361" s="633"/>
      <c r="U361" s="634"/>
    </row>
    <row r="362" spans="2:21" ht="19.149999999999999" customHeight="1">
      <c r="B362" s="606" t="s">
        <v>1069</v>
      </c>
      <c r="C362" s="654">
        <v>4</v>
      </c>
      <c r="D362" s="607">
        <v>562</v>
      </c>
      <c r="E362" s="608">
        <v>731000</v>
      </c>
      <c r="F362" s="609" t="s">
        <v>1680</v>
      </c>
      <c r="G362" s="610"/>
      <c r="H362" s="610"/>
      <c r="I362" s="611" t="s">
        <v>44</v>
      </c>
      <c r="J362" s="616">
        <v>8</v>
      </c>
      <c r="K362" s="613">
        <v>4</v>
      </c>
      <c r="L362" s="616">
        <v>4</v>
      </c>
      <c r="M362" s="616">
        <v>8</v>
      </c>
      <c r="N362" s="614">
        <v>6.6905200000000002</v>
      </c>
      <c r="O362" s="648"/>
      <c r="P362" s="648"/>
      <c r="R362" s="626"/>
      <c r="T362" s="633"/>
      <c r="U362" s="634"/>
    </row>
    <row r="363" spans="2:21" ht="19.149999999999999" customHeight="1">
      <c r="B363" s="606" t="s">
        <v>1069</v>
      </c>
      <c r="C363" s="654">
        <v>5</v>
      </c>
      <c r="D363" s="607">
        <v>742</v>
      </c>
      <c r="E363" s="608">
        <v>731000</v>
      </c>
      <c r="F363" s="710" t="s">
        <v>609</v>
      </c>
      <c r="G363" s="610"/>
      <c r="H363" s="610"/>
      <c r="I363" s="611" t="s">
        <v>175</v>
      </c>
      <c r="J363" s="616">
        <v>7</v>
      </c>
      <c r="K363" s="613">
        <v>7</v>
      </c>
      <c r="L363" s="616">
        <v>7</v>
      </c>
      <c r="M363" s="616">
        <v>7</v>
      </c>
      <c r="N363" s="614">
        <v>3.9443899999999998</v>
      </c>
      <c r="O363" s="648"/>
      <c r="P363" s="648"/>
      <c r="R363" s="626"/>
      <c r="T363" s="633"/>
      <c r="U363" s="634"/>
    </row>
    <row r="364" spans="2:21" ht="19.149999999999999" customHeight="1">
      <c r="B364" s="606" t="s">
        <v>1069</v>
      </c>
      <c r="C364" s="654">
        <v>4</v>
      </c>
      <c r="D364" s="607">
        <v>755</v>
      </c>
      <c r="E364" s="608">
        <v>731000</v>
      </c>
      <c r="F364" s="710" t="s">
        <v>616</v>
      </c>
      <c r="G364" s="610"/>
      <c r="H364" s="610"/>
      <c r="I364" s="611" t="s">
        <v>44</v>
      </c>
      <c r="J364" s="616">
        <v>53</v>
      </c>
      <c r="K364" s="613">
        <v>0</v>
      </c>
      <c r="L364" s="616">
        <v>15</v>
      </c>
      <c r="M364" s="616">
        <v>80</v>
      </c>
      <c r="N364" s="614">
        <v>0</v>
      </c>
      <c r="O364" s="648"/>
      <c r="P364" s="648"/>
      <c r="R364" s="626"/>
      <c r="T364" s="633"/>
      <c r="U364" s="634"/>
    </row>
    <row r="365" spans="2:21" ht="19.149999999999999" customHeight="1">
      <c r="B365" s="606" t="s">
        <v>1069</v>
      </c>
      <c r="C365" s="654">
        <v>4</v>
      </c>
      <c r="D365" s="607">
        <v>780</v>
      </c>
      <c r="E365" s="608">
        <v>731000</v>
      </c>
      <c r="F365" s="710" t="s">
        <v>760</v>
      </c>
      <c r="G365" s="610"/>
      <c r="H365" s="610"/>
      <c r="I365" s="611" t="s">
        <v>44</v>
      </c>
      <c r="J365" s="616">
        <v>87</v>
      </c>
      <c r="K365" s="613">
        <v>87</v>
      </c>
      <c r="L365" s="616">
        <v>87</v>
      </c>
      <c r="M365" s="616">
        <v>87</v>
      </c>
      <c r="N365" s="614">
        <v>47.983730000000001</v>
      </c>
      <c r="O365" s="648"/>
      <c r="P365" s="648"/>
      <c r="R365" s="626"/>
      <c r="T365" s="633"/>
      <c r="U365" s="634"/>
    </row>
    <row r="366" spans="2:21" ht="19.149999999999999" customHeight="1">
      <c r="B366" s="606" t="s">
        <v>1069</v>
      </c>
      <c r="C366" s="655">
        <v>4</v>
      </c>
      <c r="D366" s="615">
        <v>960</v>
      </c>
      <c r="E366" s="608">
        <v>731000</v>
      </c>
      <c r="F366" s="609" t="s">
        <v>902</v>
      </c>
      <c r="G366" s="610"/>
      <c r="H366" s="610"/>
      <c r="I366" s="611" t="s">
        <v>44</v>
      </c>
      <c r="J366" s="616">
        <v>77</v>
      </c>
      <c r="K366" s="613">
        <v>77</v>
      </c>
      <c r="L366" s="616">
        <v>77</v>
      </c>
      <c r="M366" s="616">
        <v>96</v>
      </c>
      <c r="N366" s="614">
        <v>61.185010000000005</v>
      </c>
      <c r="O366" s="648"/>
      <c r="P366" s="648"/>
      <c r="R366" s="626"/>
      <c r="T366" s="633"/>
      <c r="U366" s="634"/>
    </row>
    <row r="367" spans="2:21" ht="19.149999999999999" customHeight="1">
      <c r="B367" s="749"/>
      <c r="C367" s="712"/>
      <c r="D367" s="713"/>
      <c r="E367" s="714" t="s">
        <v>1068</v>
      </c>
      <c r="F367" s="715" t="s">
        <v>390</v>
      </c>
      <c r="G367" s="716">
        <f>SUM(G355:G366)</f>
        <v>11</v>
      </c>
      <c r="H367" s="716">
        <f>SUM(H355:H366)</f>
        <v>11.196233333333332</v>
      </c>
      <c r="I367" s="717"/>
      <c r="J367" s="718">
        <f>SUM(J355:J366)</f>
        <v>3374</v>
      </c>
      <c r="K367" s="719">
        <f>SUM(K355:K366)</f>
        <v>3302</v>
      </c>
      <c r="L367" s="718">
        <f>SUM(L355:L366)</f>
        <v>3293</v>
      </c>
      <c r="M367" s="718">
        <f>SUM(M355:M366)</f>
        <v>3551</v>
      </c>
      <c r="N367" s="720">
        <f>SUM(N355:N366)</f>
        <v>2593.4280800000006</v>
      </c>
      <c r="O367" s="648"/>
      <c r="P367" s="648"/>
      <c r="R367" s="626"/>
      <c r="T367" s="633"/>
      <c r="U367" s="632"/>
    </row>
    <row r="368" spans="2:21" ht="19.149999999999999" customHeight="1">
      <c r="B368" s="704"/>
      <c r="C368" s="684"/>
      <c r="D368" s="705"/>
      <c r="E368" s="695" t="s">
        <v>391</v>
      </c>
      <c r="F368" s="687" t="s">
        <v>968</v>
      </c>
      <c r="G368" s="706"/>
      <c r="H368" s="706"/>
      <c r="I368" s="707"/>
      <c r="J368" s="690"/>
      <c r="K368" s="693"/>
      <c r="L368" s="690"/>
      <c r="M368" s="690"/>
      <c r="N368" s="708"/>
      <c r="O368" s="648"/>
      <c r="P368" s="648"/>
      <c r="R368" s="626"/>
      <c r="T368" s="633"/>
      <c r="U368" s="632"/>
    </row>
    <row r="369" spans="2:21" ht="19.149999999999999" customHeight="1">
      <c r="B369" s="606" t="s">
        <v>853</v>
      </c>
      <c r="C369" s="655">
        <v>4</v>
      </c>
      <c r="D369" s="615">
        <v>100</v>
      </c>
      <c r="E369" s="608">
        <v>732000</v>
      </c>
      <c r="F369" s="609" t="s">
        <v>993</v>
      </c>
      <c r="G369" s="610">
        <v>10</v>
      </c>
      <c r="H369" s="610">
        <v>9.4357666666666677</v>
      </c>
      <c r="I369" s="611" t="s">
        <v>669</v>
      </c>
      <c r="J369" s="616">
        <v>2325</v>
      </c>
      <c r="K369" s="613">
        <v>2185</v>
      </c>
      <c r="L369" s="616">
        <v>2191</v>
      </c>
      <c r="M369" s="616">
        <v>2235</v>
      </c>
      <c r="N369" s="614">
        <v>2497.7598900000003</v>
      </c>
      <c r="O369" s="648"/>
      <c r="P369" s="648"/>
      <c r="R369" s="626"/>
      <c r="T369" s="633"/>
      <c r="U369" s="634"/>
    </row>
    <row r="370" spans="2:21" ht="19.149999999999999" customHeight="1">
      <c r="B370" s="606" t="s">
        <v>854</v>
      </c>
      <c r="C370" s="655">
        <v>4</v>
      </c>
      <c r="D370" s="615">
        <v>101</v>
      </c>
      <c r="E370" s="608">
        <v>732000</v>
      </c>
      <c r="F370" s="609" t="s">
        <v>540</v>
      </c>
      <c r="G370" s="610">
        <v>4</v>
      </c>
      <c r="H370" s="610">
        <v>3.833333333333333</v>
      </c>
      <c r="I370" s="611" t="s">
        <v>669</v>
      </c>
      <c r="J370" s="616">
        <v>745</v>
      </c>
      <c r="K370" s="613">
        <v>700</v>
      </c>
      <c r="L370" s="616">
        <v>789</v>
      </c>
      <c r="M370" s="616">
        <v>805</v>
      </c>
      <c r="N370" s="614">
        <v>712.39499000000001</v>
      </c>
      <c r="O370" s="648"/>
      <c r="P370" s="648"/>
      <c r="R370" s="626"/>
      <c r="T370" s="633"/>
      <c r="U370" s="634"/>
    </row>
    <row r="371" spans="2:21" ht="19.149999999999999" customHeight="1">
      <c r="B371" s="606" t="s">
        <v>853</v>
      </c>
      <c r="C371" s="654">
        <v>10</v>
      </c>
      <c r="D371" s="607">
        <v>570</v>
      </c>
      <c r="E371" s="608">
        <v>732000</v>
      </c>
      <c r="F371" s="609" t="s">
        <v>392</v>
      </c>
      <c r="G371" s="610"/>
      <c r="H371" s="610"/>
      <c r="I371" s="611" t="s">
        <v>175</v>
      </c>
      <c r="J371" s="616">
        <v>178</v>
      </c>
      <c r="K371" s="613">
        <v>178</v>
      </c>
      <c r="L371" s="616">
        <v>178</v>
      </c>
      <c r="M371" s="616">
        <v>178</v>
      </c>
      <c r="N371" s="614">
        <v>157.60866000000001</v>
      </c>
      <c r="O371" s="648"/>
      <c r="P371" s="648"/>
      <c r="R371" s="626"/>
      <c r="T371" s="633"/>
      <c r="U371" s="634"/>
    </row>
    <row r="372" spans="2:21" ht="19.149999999999999" customHeight="1">
      <c r="B372" s="606" t="s">
        <v>853</v>
      </c>
      <c r="C372" s="654">
        <v>1</v>
      </c>
      <c r="D372" s="607">
        <v>750</v>
      </c>
      <c r="E372" s="608">
        <v>732000</v>
      </c>
      <c r="F372" s="609" t="s">
        <v>1639</v>
      </c>
      <c r="G372" s="610"/>
      <c r="H372" s="610"/>
      <c r="I372" s="611" t="s">
        <v>175</v>
      </c>
      <c r="J372" s="616">
        <v>2000</v>
      </c>
      <c r="K372" s="613">
        <v>2250</v>
      </c>
      <c r="L372" s="616">
        <v>2000</v>
      </c>
      <c r="M372" s="616">
        <v>2000</v>
      </c>
      <c r="N372" s="614">
        <v>1826.6379999999999</v>
      </c>
      <c r="O372" s="648"/>
      <c r="P372" s="648"/>
      <c r="R372" s="626"/>
      <c r="T372" s="633"/>
      <c r="U372" s="634"/>
    </row>
    <row r="373" spans="2:21" ht="19.149999999999999" customHeight="1">
      <c r="B373" s="606" t="s">
        <v>853</v>
      </c>
      <c r="C373" s="654">
        <v>4</v>
      </c>
      <c r="D373" s="607">
        <v>780</v>
      </c>
      <c r="E373" s="608">
        <v>732000</v>
      </c>
      <c r="F373" s="609" t="s">
        <v>1670</v>
      </c>
      <c r="G373" s="610"/>
      <c r="H373" s="610"/>
      <c r="I373" s="611" t="s">
        <v>44</v>
      </c>
      <c r="J373" s="616">
        <v>30</v>
      </c>
      <c r="K373" s="613">
        <v>30</v>
      </c>
      <c r="L373" s="616">
        <v>30</v>
      </c>
      <c r="M373" s="616">
        <v>30</v>
      </c>
      <c r="N373" s="614">
        <v>18.353000000000002</v>
      </c>
      <c r="O373" s="648"/>
      <c r="P373" s="648"/>
      <c r="R373" s="626"/>
      <c r="T373" s="633"/>
      <c r="U373" s="634"/>
    </row>
    <row r="374" spans="2:21" ht="19.149999999999999" customHeight="1">
      <c r="B374" s="606" t="s">
        <v>853</v>
      </c>
      <c r="C374" s="654">
        <v>4</v>
      </c>
      <c r="D374" s="607">
        <v>781</v>
      </c>
      <c r="E374" s="608">
        <v>732000</v>
      </c>
      <c r="F374" s="609" t="s">
        <v>1746</v>
      </c>
      <c r="G374" s="610"/>
      <c r="H374" s="610"/>
      <c r="I374" s="611" t="s">
        <v>44</v>
      </c>
      <c r="J374" s="616">
        <v>30</v>
      </c>
      <c r="K374" s="613">
        <v>30</v>
      </c>
      <c r="L374" s="616">
        <v>30</v>
      </c>
      <c r="M374" s="616">
        <v>30</v>
      </c>
      <c r="N374" s="614">
        <v>10.546419999999999</v>
      </c>
      <c r="O374" s="648"/>
      <c r="P374" s="648"/>
      <c r="R374" s="626"/>
      <c r="T374" s="633"/>
      <c r="U374" s="634"/>
    </row>
    <row r="375" spans="2:21" ht="19.149999999999999" customHeight="1">
      <c r="B375" s="606" t="s">
        <v>853</v>
      </c>
      <c r="C375" s="654">
        <v>4</v>
      </c>
      <c r="D375" s="607">
        <v>782</v>
      </c>
      <c r="E375" s="608">
        <v>732000</v>
      </c>
      <c r="F375" s="609" t="s">
        <v>1749</v>
      </c>
      <c r="G375" s="610"/>
      <c r="H375" s="610"/>
      <c r="I375" s="611" t="s">
        <v>44</v>
      </c>
      <c r="J375" s="616">
        <v>30</v>
      </c>
      <c r="K375" s="613">
        <v>55</v>
      </c>
      <c r="L375" s="616">
        <v>55</v>
      </c>
      <c r="M375" s="616">
        <v>30</v>
      </c>
      <c r="N375" s="614">
        <v>3.8610000000000002</v>
      </c>
      <c r="O375" s="648"/>
      <c r="P375" s="648"/>
      <c r="R375" s="626"/>
      <c r="T375" s="633"/>
      <c r="U375" s="634"/>
    </row>
    <row r="376" spans="2:21" ht="19.149999999999999" customHeight="1">
      <c r="B376" s="606" t="s">
        <v>853</v>
      </c>
      <c r="C376" s="654">
        <v>4</v>
      </c>
      <c r="D376" s="607">
        <v>950</v>
      </c>
      <c r="E376" s="608">
        <v>732000</v>
      </c>
      <c r="F376" s="609" t="s">
        <v>77</v>
      </c>
      <c r="G376" s="610"/>
      <c r="H376" s="610"/>
      <c r="I376" s="611" t="s">
        <v>44</v>
      </c>
      <c r="J376" s="616">
        <v>30</v>
      </c>
      <c r="K376" s="613">
        <v>30</v>
      </c>
      <c r="L376" s="616">
        <v>30</v>
      </c>
      <c r="M376" s="616">
        <v>30</v>
      </c>
      <c r="N376" s="614">
        <v>16.684619999999999</v>
      </c>
      <c r="O376" s="648"/>
      <c r="P376" s="648"/>
      <c r="R376" s="626"/>
      <c r="T376" s="633"/>
      <c r="U376" s="634"/>
    </row>
    <row r="377" spans="2:21" ht="19.149999999999999" customHeight="1">
      <c r="B377" s="606" t="s">
        <v>853</v>
      </c>
      <c r="C377" s="654">
        <v>4</v>
      </c>
      <c r="D377" s="607">
        <v>951</v>
      </c>
      <c r="E377" s="608">
        <v>732000</v>
      </c>
      <c r="F377" s="609" t="s">
        <v>323</v>
      </c>
      <c r="G377" s="610"/>
      <c r="H377" s="610"/>
      <c r="I377" s="611" t="s">
        <v>175</v>
      </c>
      <c r="J377" s="616">
        <v>3500</v>
      </c>
      <c r="K377" s="613">
        <v>3000</v>
      </c>
      <c r="L377" s="616">
        <v>3500</v>
      </c>
      <c r="M377" s="616">
        <v>3500</v>
      </c>
      <c r="N377" s="614">
        <v>2710.6558100000002</v>
      </c>
      <c r="O377" s="648"/>
      <c r="P377" s="648"/>
      <c r="R377" s="626"/>
      <c r="T377" s="633"/>
      <c r="U377" s="634"/>
    </row>
    <row r="378" spans="2:21" ht="19.149999999999999" customHeight="1">
      <c r="B378" s="747"/>
      <c r="C378" s="656"/>
      <c r="D378" s="618"/>
      <c r="E378" s="619" t="s">
        <v>391</v>
      </c>
      <c r="F378" s="620" t="s">
        <v>969</v>
      </c>
      <c r="G378" s="621">
        <f>SUM(G369:G377)</f>
        <v>14</v>
      </c>
      <c r="H378" s="621">
        <f>SUM(H369:H377)</f>
        <v>13.269100000000002</v>
      </c>
      <c r="I378" s="622"/>
      <c r="J378" s="623">
        <f>SUM(J369:J377)</f>
        <v>8868</v>
      </c>
      <c r="K378" s="624">
        <f>SUM(K369:K377)</f>
        <v>8458</v>
      </c>
      <c r="L378" s="623">
        <f>SUM(L369:L377)</f>
        <v>8803</v>
      </c>
      <c r="M378" s="623">
        <f>SUM(M369:M377)</f>
        <v>8838</v>
      </c>
      <c r="N378" s="625">
        <f>SUM(N369:N377)</f>
        <v>7954.5023899999997</v>
      </c>
      <c r="O378" s="648"/>
      <c r="P378" s="648"/>
      <c r="R378" s="626"/>
      <c r="T378" s="633"/>
      <c r="U378" s="632"/>
    </row>
    <row r="379" spans="2:21" ht="19.149999999999999" customHeight="1">
      <c r="B379" s="704"/>
      <c r="C379" s="684"/>
      <c r="D379" s="705"/>
      <c r="E379" s="695" t="s">
        <v>1358</v>
      </c>
      <c r="F379" s="687" t="s">
        <v>1359</v>
      </c>
      <c r="G379" s="706"/>
      <c r="H379" s="706"/>
      <c r="I379" s="707"/>
      <c r="J379" s="690"/>
      <c r="K379" s="693"/>
      <c r="L379" s="690"/>
      <c r="M379" s="690"/>
      <c r="N379" s="708"/>
      <c r="O379" s="648"/>
      <c r="P379" s="648"/>
      <c r="R379" s="626"/>
      <c r="T379" s="633"/>
      <c r="U379" s="632"/>
    </row>
    <row r="380" spans="2:21" ht="19.149999999999999" customHeight="1">
      <c r="B380" s="606" t="s">
        <v>1359</v>
      </c>
      <c r="C380" s="655">
        <v>4</v>
      </c>
      <c r="D380" s="615">
        <v>100</v>
      </c>
      <c r="E380" s="608">
        <v>732200</v>
      </c>
      <c r="F380" s="609" t="s">
        <v>848</v>
      </c>
      <c r="G380" s="610">
        <v>6</v>
      </c>
      <c r="H380" s="610">
        <v>5</v>
      </c>
      <c r="I380" s="611" t="s">
        <v>669</v>
      </c>
      <c r="J380" s="616">
        <v>1300</v>
      </c>
      <c r="K380" s="613">
        <v>1120</v>
      </c>
      <c r="L380" s="616">
        <v>1274</v>
      </c>
      <c r="M380" s="616">
        <v>1300</v>
      </c>
      <c r="N380" s="614">
        <v>893.01108999999997</v>
      </c>
      <c r="O380" s="648"/>
      <c r="P380" s="648"/>
      <c r="R380" s="626"/>
      <c r="T380" s="633"/>
      <c r="U380" s="634"/>
    </row>
    <row r="381" spans="2:21" ht="19.149999999999999" customHeight="1">
      <c r="B381" s="606" t="s">
        <v>1359</v>
      </c>
      <c r="C381" s="654">
        <v>4</v>
      </c>
      <c r="D381" s="607">
        <v>755</v>
      </c>
      <c r="E381" s="608">
        <v>732200</v>
      </c>
      <c r="F381" s="710" t="s">
        <v>616</v>
      </c>
      <c r="G381" s="610"/>
      <c r="H381" s="610"/>
      <c r="I381" s="611" t="s">
        <v>44</v>
      </c>
      <c r="J381" s="616">
        <v>20</v>
      </c>
      <c r="K381" s="613">
        <v>0</v>
      </c>
      <c r="L381" s="616">
        <v>0</v>
      </c>
      <c r="M381" s="616">
        <v>0</v>
      </c>
      <c r="N381" s="614">
        <v>134.82787999999999</v>
      </c>
      <c r="O381" s="648"/>
      <c r="P381" s="648"/>
      <c r="R381" s="626"/>
      <c r="T381" s="633"/>
      <c r="U381" s="634"/>
    </row>
    <row r="382" spans="2:21" ht="19.149999999999999" customHeight="1">
      <c r="B382" s="606" t="s">
        <v>1359</v>
      </c>
      <c r="C382" s="655">
        <v>4</v>
      </c>
      <c r="D382" s="615">
        <v>781</v>
      </c>
      <c r="E382" s="608">
        <v>732200</v>
      </c>
      <c r="F382" s="609" t="s">
        <v>982</v>
      </c>
      <c r="G382" s="610"/>
      <c r="H382" s="610"/>
      <c r="I382" s="611" t="s">
        <v>44</v>
      </c>
      <c r="J382" s="616">
        <v>440</v>
      </c>
      <c r="K382" s="613">
        <v>120</v>
      </c>
      <c r="L382" s="616">
        <v>310</v>
      </c>
      <c r="M382" s="616">
        <v>460</v>
      </c>
      <c r="N382" s="614">
        <v>18.733319999999999</v>
      </c>
      <c r="O382" s="648"/>
      <c r="P382" s="648"/>
      <c r="R382" s="626"/>
      <c r="T382" s="633"/>
      <c r="U382" s="634"/>
    </row>
    <row r="383" spans="2:21" ht="19.149999999999999" customHeight="1">
      <c r="B383" s="747"/>
      <c r="C383" s="656"/>
      <c r="D383" s="618"/>
      <c r="E383" s="619" t="s">
        <v>1358</v>
      </c>
      <c r="F383" s="620" t="s">
        <v>1360</v>
      </c>
      <c r="G383" s="621">
        <f>SUM(G380:G382)</f>
        <v>6</v>
      </c>
      <c r="H383" s="621">
        <f>SUM(H380:H382)</f>
        <v>5</v>
      </c>
      <c r="I383" s="622"/>
      <c r="J383" s="623">
        <f>SUM(J380:J382)</f>
        <v>1760</v>
      </c>
      <c r="K383" s="624">
        <f>SUM(K380:K382)</f>
        <v>1240</v>
      </c>
      <c r="L383" s="623">
        <f>SUM(L380:L382)</f>
        <v>1584</v>
      </c>
      <c r="M383" s="623">
        <f>SUM(M380:M382)</f>
        <v>1760</v>
      </c>
      <c r="N383" s="625">
        <f>SUM(N380:N382)</f>
        <v>1046.5722900000001</v>
      </c>
      <c r="O383" s="648"/>
      <c r="P383" s="648"/>
      <c r="R383" s="626"/>
      <c r="T383" s="633"/>
      <c r="U383" s="632"/>
    </row>
    <row r="384" spans="2:21" ht="19.149999999999999" customHeight="1">
      <c r="B384" s="704"/>
      <c r="C384" s="684"/>
      <c r="D384" s="705"/>
      <c r="E384" s="695" t="s">
        <v>393</v>
      </c>
      <c r="F384" s="687" t="s">
        <v>394</v>
      </c>
      <c r="G384" s="706"/>
      <c r="H384" s="706"/>
      <c r="I384" s="707"/>
      <c r="J384" s="690"/>
      <c r="K384" s="693"/>
      <c r="L384" s="690"/>
      <c r="M384" s="690"/>
      <c r="N384" s="708"/>
      <c r="O384" s="648"/>
      <c r="P384" s="648"/>
      <c r="R384" s="626"/>
      <c r="T384" s="633"/>
      <c r="U384" s="632"/>
    </row>
    <row r="385" spans="2:26" ht="19.149999999999999" customHeight="1">
      <c r="B385" s="606" t="s">
        <v>394</v>
      </c>
      <c r="C385" s="655">
        <v>4</v>
      </c>
      <c r="D385" s="615">
        <v>100</v>
      </c>
      <c r="E385" s="608">
        <v>733100</v>
      </c>
      <c r="F385" s="609" t="s">
        <v>1058</v>
      </c>
      <c r="G385" s="610">
        <v>26.8</v>
      </c>
      <c r="H385" s="610">
        <v>22.291816666666662</v>
      </c>
      <c r="I385" s="611" t="s">
        <v>669</v>
      </c>
      <c r="J385" s="616">
        <v>5150</v>
      </c>
      <c r="K385" s="613">
        <v>4700</v>
      </c>
      <c r="L385" s="616">
        <v>5204</v>
      </c>
      <c r="M385" s="616">
        <v>5310</v>
      </c>
      <c r="N385" s="614">
        <v>3960.6258900000003</v>
      </c>
      <c r="O385" s="648"/>
      <c r="P385" s="648"/>
      <c r="R385" s="626"/>
      <c r="T385" s="633"/>
      <c r="U385" s="634"/>
      <c r="Z385" s="216"/>
    </row>
    <row r="386" spans="2:26" ht="19.149999999999999" customHeight="1">
      <c r="B386" s="747"/>
      <c r="C386" s="656"/>
      <c r="D386" s="618"/>
      <c r="E386" s="619" t="s">
        <v>393</v>
      </c>
      <c r="F386" s="620" t="s">
        <v>395</v>
      </c>
      <c r="G386" s="621">
        <f>SUM(G384:G385)</f>
        <v>26.8</v>
      </c>
      <c r="H386" s="621">
        <f>SUM(H384:H385)</f>
        <v>22.291816666666662</v>
      </c>
      <c r="I386" s="622"/>
      <c r="J386" s="623">
        <f>SUM(J384:J385)</f>
        <v>5150</v>
      </c>
      <c r="K386" s="624">
        <f>SUM(K384:K385)</f>
        <v>4700</v>
      </c>
      <c r="L386" s="623">
        <f>SUM(L384:L385)</f>
        <v>5204</v>
      </c>
      <c r="M386" s="623">
        <f>SUM(M384:M385)</f>
        <v>5310</v>
      </c>
      <c r="N386" s="625">
        <f>SUM(N384:N385)</f>
        <v>3960.6258900000003</v>
      </c>
      <c r="O386" s="648"/>
      <c r="P386" s="648"/>
      <c r="R386" s="626"/>
      <c r="T386" s="633"/>
      <c r="U386" s="632"/>
    </row>
    <row r="387" spans="2:26" ht="19.149999999999999" customHeight="1">
      <c r="B387" s="704"/>
      <c r="C387" s="684"/>
      <c r="D387" s="705"/>
      <c r="E387" s="695" t="s">
        <v>396</v>
      </c>
      <c r="F387" s="687" t="s">
        <v>397</v>
      </c>
      <c r="G387" s="706"/>
      <c r="H387" s="706"/>
      <c r="I387" s="707"/>
      <c r="J387" s="690"/>
      <c r="K387" s="693"/>
      <c r="L387" s="690"/>
      <c r="M387" s="690"/>
      <c r="N387" s="708"/>
      <c r="O387" s="648"/>
      <c r="P387" s="648"/>
      <c r="R387" s="626"/>
      <c r="T387" s="633"/>
      <c r="U387" s="632"/>
    </row>
    <row r="388" spans="2:26" ht="19.149999999999999" customHeight="1">
      <c r="B388" s="606" t="s">
        <v>397</v>
      </c>
      <c r="C388" s="655">
        <v>4</v>
      </c>
      <c r="D388" s="615">
        <v>100</v>
      </c>
      <c r="E388" s="608">
        <v>733200</v>
      </c>
      <c r="F388" s="609" t="s">
        <v>1058</v>
      </c>
      <c r="G388" s="610">
        <v>10</v>
      </c>
      <c r="H388" s="610">
        <v>8.973116666666666</v>
      </c>
      <c r="I388" s="611" t="s">
        <v>669</v>
      </c>
      <c r="J388" s="616">
        <v>2340</v>
      </c>
      <c r="K388" s="613">
        <v>2200</v>
      </c>
      <c r="L388" s="616">
        <v>2357</v>
      </c>
      <c r="M388" s="616">
        <v>2405</v>
      </c>
      <c r="N388" s="614">
        <v>1859.53792</v>
      </c>
      <c r="O388" s="648"/>
      <c r="P388" s="648"/>
      <c r="R388" s="626"/>
      <c r="T388" s="633"/>
      <c r="U388" s="634"/>
    </row>
    <row r="389" spans="2:26" ht="14">
      <c r="B389" s="606" t="s">
        <v>397</v>
      </c>
      <c r="C389" s="654">
        <v>5</v>
      </c>
      <c r="D389" s="607">
        <v>730</v>
      </c>
      <c r="E389" s="608">
        <v>733200</v>
      </c>
      <c r="F389" s="750" t="s">
        <v>1552</v>
      </c>
      <c r="G389" s="610"/>
      <c r="H389" s="610"/>
      <c r="I389" s="611" t="s">
        <v>175</v>
      </c>
      <c r="J389" s="616">
        <v>47</v>
      </c>
      <c r="K389" s="613">
        <v>47</v>
      </c>
      <c r="L389" s="616">
        <v>47</v>
      </c>
      <c r="M389" s="616">
        <v>47</v>
      </c>
      <c r="N389" s="614">
        <v>46.907849999999996</v>
      </c>
      <c r="O389" s="648"/>
      <c r="P389" s="648"/>
      <c r="R389" s="626"/>
      <c r="T389" s="633"/>
      <c r="U389" s="634"/>
    </row>
    <row r="390" spans="2:26" ht="14">
      <c r="B390" s="606" t="s">
        <v>397</v>
      </c>
      <c r="C390" s="654">
        <v>4</v>
      </c>
      <c r="D390" s="607">
        <v>750</v>
      </c>
      <c r="E390" s="608">
        <v>733200</v>
      </c>
      <c r="F390" s="703" t="s">
        <v>2316</v>
      </c>
      <c r="G390" s="610"/>
      <c r="H390" s="610"/>
      <c r="I390" s="611" t="s">
        <v>175</v>
      </c>
      <c r="J390" s="616">
        <v>65</v>
      </c>
      <c r="K390" s="613">
        <v>70</v>
      </c>
      <c r="L390" s="616">
        <v>85</v>
      </c>
      <c r="M390" s="616">
        <v>65</v>
      </c>
      <c r="N390" s="614">
        <v>9.36</v>
      </c>
      <c r="O390" s="648"/>
      <c r="P390" s="648"/>
      <c r="R390" s="626"/>
      <c r="T390" s="633"/>
      <c r="U390" s="634"/>
    </row>
    <row r="391" spans="2:26" ht="19.149999999999999" customHeight="1">
      <c r="B391" s="606" t="s">
        <v>397</v>
      </c>
      <c r="C391" s="655">
        <v>4</v>
      </c>
      <c r="D391" s="615">
        <v>755</v>
      </c>
      <c r="E391" s="608">
        <v>733200</v>
      </c>
      <c r="F391" s="710" t="s">
        <v>616</v>
      </c>
      <c r="G391" s="610"/>
      <c r="H391" s="610"/>
      <c r="I391" s="611" t="s">
        <v>44</v>
      </c>
      <c r="J391" s="616">
        <v>0</v>
      </c>
      <c r="K391" s="613">
        <v>0</v>
      </c>
      <c r="L391" s="616">
        <v>25</v>
      </c>
      <c r="M391" s="616">
        <v>50</v>
      </c>
      <c r="N391" s="614">
        <v>0</v>
      </c>
      <c r="O391" s="648"/>
      <c r="P391" s="648"/>
      <c r="R391" s="626"/>
      <c r="T391" s="633"/>
      <c r="U391" s="634"/>
    </row>
    <row r="392" spans="2:26" ht="19.149999999999999" customHeight="1">
      <c r="B392" s="747"/>
      <c r="C392" s="656"/>
      <c r="D392" s="618"/>
      <c r="E392" s="619" t="s">
        <v>396</v>
      </c>
      <c r="F392" s="620" t="s">
        <v>398</v>
      </c>
      <c r="G392" s="621">
        <f>SUM(G388:G391)</f>
        <v>10</v>
      </c>
      <c r="H392" s="621">
        <f>SUM(H388:H391)</f>
        <v>8.973116666666666</v>
      </c>
      <c r="I392" s="622"/>
      <c r="J392" s="623">
        <f>SUM(J388:J391)</f>
        <v>2452</v>
      </c>
      <c r="K392" s="624">
        <f>SUM(K388:K391)</f>
        <v>2317</v>
      </c>
      <c r="L392" s="623">
        <f>SUM(L388:L391)</f>
        <v>2514</v>
      </c>
      <c r="M392" s="623">
        <f>SUM(M388:M391)</f>
        <v>2567</v>
      </c>
      <c r="N392" s="625">
        <f>SUM(N388:N391)</f>
        <v>1915.8057699999999</v>
      </c>
      <c r="O392" s="648"/>
      <c r="P392" s="648"/>
      <c r="R392" s="626"/>
      <c r="T392" s="633"/>
      <c r="U392" s="632"/>
    </row>
    <row r="393" spans="2:26" ht="19.149999999999999" customHeight="1">
      <c r="B393" s="704"/>
      <c r="C393" s="684"/>
      <c r="D393" s="705"/>
      <c r="E393" s="695" t="s">
        <v>1205</v>
      </c>
      <c r="F393" s="687" t="s">
        <v>1206</v>
      </c>
      <c r="G393" s="706"/>
      <c r="H393" s="706"/>
      <c r="I393" s="707"/>
      <c r="J393" s="690"/>
      <c r="K393" s="693"/>
      <c r="L393" s="690"/>
      <c r="M393" s="690"/>
      <c r="N393" s="708"/>
      <c r="O393" s="648"/>
      <c r="P393" s="648"/>
      <c r="R393" s="626"/>
      <c r="T393" s="633"/>
      <c r="U393" s="632"/>
    </row>
    <row r="394" spans="2:26" ht="19.149999999999999" customHeight="1">
      <c r="B394" s="606" t="s">
        <v>1206</v>
      </c>
      <c r="C394" s="655">
        <v>4</v>
      </c>
      <c r="D394" s="615">
        <v>100</v>
      </c>
      <c r="E394" s="608">
        <v>734000</v>
      </c>
      <c r="F394" s="609" t="s">
        <v>848</v>
      </c>
      <c r="G394" s="610">
        <v>4.7</v>
      </c>
      <c r="H394" s="610">
        <v>1.8666666666666665</v>
      </c>
      <c r="I394" s="611" t="s">
        <v>669</v>
      </c>
      <c r="J394" s="616">
        <v>755</v>
      </c>
      <c r="K394" s="613">
        <v>610</v>
      </c>
      <c r="L394" s="616">
        <v>936</v>
      </c>
      <c r="M394" s="616">
        <v>955</v>
      </c>
      <c r="N394" s="614">
        <v>527.82525999999996</v>
      </c>
      <c r="O394" s="648"/>
      <c r="P394" s="648"/>
      <c r="R394" s="626"/>
      <c r="T394" s="633"/>
      <c r="U394" s="634"/>
    </row>
    <row r="395" spans="2:26" ht="19.149999999999999" customHeight="1">
      <c r="B395" s="747"/>
      <c r="C395" s="656"/>
      <c r="D395" s="618"/>
      <c r="E395" s="619" t="s">
        <v>1205</v>
      </c>
      <c r="F395" s="620" t="s">
        <v>1207</v>
      </c>
      <c r="G395" s="621">
        <f>SUM(G394:G394)</f>
        <v>4.7</v>
      </c>
      <c r="H395" s="621">
        <f>SUM(H394:H394)</f>
        <v>1.8666666666666665</v>
      </c>
      <c r="I395" s="622"/>
      <c r="J395" s="623">
        <f>SUM(J394:J394)</f>
        <v>755</v>
      </c>
      <c r="K395" s="624">
        <f>SUM(K394:K394)</f>
        <v>610</v>
      </c>
      <c r="L395" s="623">
        <f>SUM(L394:L394)</f>
        <v>936</v>
      </c>
      <c r="M395" s="623">
        <f>SUM(M394:M394)</f>
        <v>955</v>
      </c>
      <c r="N395" s="625">
        <f>SUM(N394:N394)</f>
        <v>527.82525999999996</v>
      </c>
      <c r="O395" s="648"/>
      <c r="P395" s="648"/>
      <c r="R395" s="626"/>
      <c r="T395" s="633"/>
      <c r="U395" s="632"/>
    </row>
    <row r="396" spans="2:26" ht="19.149999999999999" customHeight="1">
      <c r="B396" s="617"/>
      <c r="C396" s="656"/>
      <c r="D396" s="618"/>
      <c r="E396" s="619" t="s">
        <v>1067</v>
      </c>
      <c r="F396" s="620" t="s">
        <v>873</v>
      </c>
      <c r="G396" s="621">
        <f>SUMIF($E$353:$E$395,"*.",G353:G395)</f>
        <v>72.5</v>
      </c>
      <c r="H396" s="621">
        <f>SUMIF($E$353:$E$395,"*.",H353:H395)</f>
        <v>62.596933333333332</v>
      </c>
      <c r="I396" s="622"/>
      <c r="J396" s="623">
        <f>SUMIF($E$353:$E$395,"*.",J353:J395)</f>
        <v>22359</v>
      </c>
      <c r="K396" s="624">
        <f>SUMIF($E$353:$E$395,"*.",K353:K395)</f>
        <v>20627</v>
      </c>
      <c r="L396" s="623">
        <f>SUMIF($E$353:$E$395,"*.",L353:L395)</f>
        <v>22334</v>
      </c>
      <c r="M396" s="623">
        <f>SUMIF($E$353:$E$395,"*.",M353:M395)</f>
        <v>22981</v>
      </c>
      <c r="N396" s="625">
        <f>SUMIF($E$353:$E$395,"*.",N353:N395)</f>
        <v>17998.759679999999</v>
      </c>
      <c r="O396" s="648"/>
      <c r="P396" s="648"/>
      <c r="R396" s="626"/>
      <c r="T396" s="633"/>
      <c r="U396" s="632"/>
    </row>
    <row r="397" spans="2:26" ht="19.149999999999999" customHeight="1">
      <c r="B397" s="704"/>
      <c r="C397" s="684"/>
      <c r="D397" s="705"/>
      <c r="E397" s="695" t="s">
        <v>217</v>
      </c>
      <c r="F397" s="687" t="s">
        <v>704</v>
      </c>
      <c r="G397" s="706"/>
      <c r="H397" s="706"/>
      <c r="I397" s="723"/>
      <c r="J397" s="690"/>
      <c r="K397" s="693"/>
      <c r="L397" s="690"/>
      <c r="M397" s="690"/>
      <c r="N397" s="708"/>
      <c r="O397" s="648"/>
      <c r="P397" s="648"/>
      <c r="R397" s="626"/>
      <c r="T397" s="633"/>
      <c r="U397" s="632"/>
    </row>
    <row r="398" spans="2:26" ht="19.149999999999999" customHeight="1">
      <c r="B398" s="704"/>
      <c r="C398" s="684"/>
      <c r="D398" s="705"/>
      <c r="E398" s="695" t="s">
        <v>218</v>
      </c>
      <c r="F398" s="751" t="s">
        <v>219</v>
      </c>
      <c r="G398" s="706"/>
      <c r="H398" s="706"/>
      <c r="I398" s="707"/>
      <c r="J398" s="690"/>
      <c r="K398" s="693"/>
      <c r="L398" s="690"/>
      <c r="M398" s="690"/>
      <c r="N398" s="708"/>
      <c r="O398" s="648"/>
      <c r="P398" s="648"/>
      <c r="R398" s="626"/>
      <c r="T398" s="633"/>
      <c r="U398" s="632"/>
    </row>
    <row r="399" spans="2:26" ht="19.149999999999999" customHeight="1">
      <c r="B399" s="606" t="s">
        <v>219</v>
      </c>
      <c r="C399" s="654">
        <v>4</v>
      </c>
      <c r="D399" s="607">
        <v>100</v>
      </c>
      <c r="E399" s="608">
        <v>742000</v>
      </c>
      <c r="F399" s="609" t="s">
        <v>848</v>
      </c>
      <c r="G399" s="610">
        <v>6</v>
      </c>
      <c r="H399" s="610">
        <v>5.78735</v>
      </c>
      <c r="I399" s="611" t="s">
        <v>669</v>
      </c>
      <c r="J399" s="616">
        <v>1330</v>
      </c>
      <c r="K399" s="613">
        <v>1300</v>
      </c>
      <c r="L399" s="616">
        <v>1300</v>
      </c>
      <c r="M399" s="616">
        <v>1300</v>
      </c>
      <c r="N399" s="614">
        <v>970.13065000000006</v>
      </c>
      <c r="O399" s="648"/>
      <c r="P399" s="648"/>
      <c r="R399" s="626"/>
      <c r="T399" s="633"/>
      <c r="U399" s="634"/>
    </row>
    <row r="400" spans="2:26" ht="19.149999999999999" customHeight="1">
      <c r="B400" s="606" t="s">
        <v>219</v>
      </c>
      <c r="C400" s="655">
        <v>5</v>
      </c>
      <c r="D400" s="615">
        <v>102</v>
      </c>
      <c r="E400" s="608">
        <v>742000</v>
      </c>
      <c r="F400" s="609" t="s">
        <v>211</v>
      </c>
      <c r="G400" s="610">
        <v>10.5</v>
      </c>
      <c r="H400" s="610">
        <v>9.4137833333333347</v>
      </c>
      <c r="I400" s="611" t="s">
        <v>669</v>
      </c>
      <c r="J400" s="616">
        <v>1853</v>
      </c>
      <c r="K400" s="613">
        <v>1700</v>
      </c>
      <c r="L400" s="616">
        <v>1793</v>
      </c>
      <c r="M400" s="616">
        <v>1829</v>
      </c>
      <c r="N400" s="614">
        <v>1553.1470400000001</v>
      </c>
      <c r="O400" s="648"/>
      <c r="P400" s="648"/>
      <c r="R400" s="626"/>
      <c r="T400" s="633"/>
      <c r="U400" s="634"/>
    </row>
    <row r="401" spans="2:21" ht="19.149999999999999" customHeight="1">
      <c r="B401" s="606" t="s">
        <v>219</v>
      </c>
      <c r="C401" s="654">
        <v>5</v>
      </c>
      <c r="D401" s="607">
        <v>730</v>
      </c>
      <c r="E401" s="608">
        <v>742000</v>
      </c>
      <c r="F401" s="703" t="s">
        <v>869</v>
      </c>
      <c r="G401" s="610"/>
      <c r="H401" s="610"/>
      <c r="I401" s="611" t="s">
        <v>175</v>
      </c>
      <c r="J401" s="616">
        <v>285</v>
      </c>
      <c r="K401" s="613">
        <v>285</v>
      </c>
      <c r="L401" s="616">
        <v>270</v>
      </c>
      <c r="M401" s="616">
        <v>270</v>
      </c>
      <c r="N401" s="614">
        <v>288.55740000000003</v>
      </c>
      <c r="O401" s="648"/>
      <c r="P401" s="648"/>
      <c r="R401" s="626"/>
      <c r="T401" s="633"/>
      <c r="U401" s="634"/>
    </row>
    <row r="402" spans="2:21" ht="19.149999999999999" customHeight="1">
      <c r="B402" s="606" t="s">
        <v>219</v>
      </c>
      <c r="C402" s="654">
        <v>5</v>
      </c>
      <c r="D402" s="607">
        <v>731</v>
      </c>
      <c r="E402" s="608">
        <v>742000</v>
      </c>
      <c r="F402" s="703" t="s">
        <v>1925</v>
      </c>
      <c r="G402" s="610"/>
      <c r="H402" s="610"/>
      <c r="I402" s="611" t="s">
        <v>175</v>
      </c>
      <c r="J402" s="616">
        <v>40</v>
      </c>
      <c r="K402" s="613">
        <v>40</v>
      </c>
      <c r="L402" s="616">
        <v>40</v>
      </c>
      <c r="M402" s="616">
        <v>20</v>
      </c>
      <c r="N402" s="614">
        <v>-1.8172999999999999</v>
      </c>
      <c r="O402" s="648"/>
      <c r="P402" s="648"/>
      <c r="R402" s="626"/>
      <c r="T402" s="633"/>
      <c r="U402" s="634"/>
    </row>
    <row r="403" spans="2:21" ht="18.649999999999999" customHeight="1">
      <c r="B403" s="606" t="s">
        <v>219</v>
      </c>
      <c r="C403" s="654">
        <v>5</v>
      </c>
      <c r="D403" s="607">
        <v>740</v>
      </c>
      <c r="E403" s="608">
        <v>742000</v>
      </c>
      <c r="F403" s="609" t="s">
        <v>474</v>
      </c>
      <c r="G403" s="610"/>
      <c r="H403" s="610"/>
      <c r="I403" s="611" t="s">
        <v>44</v>
      </c>
      <c r="J403" s="616">
        <v>85</v>
      </c>
      <c r="K403" s="613">
        <v>85</v>
      </c>
      <c r="L403" s="616">
        <v>85</v>
      </c>
      <c r="M403" s="616">
        <v>65</v>
      </c>
      <c r="N403" s="614">
        <v>53.400169999999996</v>
      </c>
      <c r="O403" s="648"/>
      <c r="P403" s="648"/>
      <c r="R403" s="626"/>
      <c r="T403" s="633"/>
      <c r="U403" s="634"/>
    </row>
    <row r="404" spans="2:21" ht="28">
      <c r="B404" s="606" t="s">
        <v>219</v>
      </c>
      <c r="C404" s="655">
        <v>5</v>
      </c>
      <c r="D404" s="615">
        <v>751</v>
      </c>
      <c r="E404" s="608">
        <v>742000</v>
      </c>
      <c r="F404" s="609" t="s">
        <v>1814</v>
      </c>
      <c r="G404" s="610"/>
      <c r="H404" s="610"/>
      <c r="I404" s="611" t="s">
        <v>44</v>
      </c>
      <c r="J404" s="616">
        <f>1517-17</f>
        <v>1500</v>
      </c>
      <c r="K404" s="613">
        <v>1517</v>
      </c>
      <c r="L404" s="616">
        <v>1517</v>
      </c>
      <c r="M404" s="616">
        <v>1547</v>
      </c>
      <c r="N404" s="614">
        <v>1542.2609</v>
      </c>
      <c r="O404" s="648"/>
      <c r="P404" s="648"/>
      <c r="R404" s="626"/>
      <c r="T404" s="633"/>
      <c r="U404" s="634"/>
    </row>
    <row r="405" spans="2:21" ht="19.149999999999999" customHeight="1">
      <c r="B405" s="747"/>
      <c r="C405" s="656"/>
      <c r="D405" s="618"/>
      <c r="E405" s="619" t="s">
        <v>218</v>
      </c>
      <c r="F405" s="620" t="s">
        <v>641</v>
      </c>
      <c r="G405" s="621">
        <f>SUM(G399:G404)</f>
        <v>16.5</v>
      </c>
      <c r="H405" s="621">
        <f>SUM(H399:H404)</f>
        <v>15.201133333333335</v>
      </c>
      <c r="I405" s="622"/>
      <c r="J405" s="623">
        <f>SUM(J399:J404)</f>
        <v>5093</v>
      </c>
      <c r="K405" s="624">
        <f>SUM(K399:K404)</f>
        <v>4927</v>
      </c>
      <c r="L405" s="623">
        <f>SUM(L399:L404)</f>
        <v>5005</v>
      </c>
      <c r="M405" s="623">
        <f>SUM(M399:M404)</f>
        <v>5031</v>
      </c>
      <c r="N405" s="625">
        <f>SUM(N399:N404)</f>
        <v>4405.67886</v>
      </c>
      <c r="O405" s="648"/>
      <c r="P405" s="648"/>
      <c r="R405" s="626"/>
      <c r="T405" s="633"/>
      <c r="U405" s="632"/>
    </row>
    <row r="406" spans="2:21" ht="19.149999999999999" customHeight="1">
      <c r="B406" s="704"/>
      <c r="C406" s="684"/>
      <c r="D406" s="705"/>
      <c r="E406" s="695" t="s">
        <v>220</v>
      </c>
      <c r="F406" s="687" t="s">
        <v>221</v>
      </c>
      <c r="G406" s="706"/>
      <c r="H406" s="706"/>
      <c r="I406" s="707"/>
      <c r="J406" s="690"/>
      <c r="K406" s="693"/>
      <c r="L406" s="690"/>
      <c r="M406" s="690"/>
      <c r="N406" s="708"/>
      <c r="O406" s="648"/>
      <c r="P406" s="648"/>
      <c r="R406" s="626"/>
      <c r="T406" s="633"/>
      <c r="U406" s="632"/>
    </row>
    <row r="407" spans="2:21" ht="19.149999999999999" customHeight="1">
      <c r="B407" s="606" t="s">
        <v>222</v>
      </c>
      <c r="C407" s="655">
        <v>5</v>
      </c>
      <c r="D407" s="615">
        <v>100</v>
      </c>
      <c r="E407" s="608">
        <v>743000</v>
      </c>
      <c r="F407" s="609" t="s">
        <v>1058</v>
      </c>
      <c r="G407" s="610">
        <v>11</v>
      </c>
      <c r="H407" s="610">
        <v>10</v>
      </c>
      <c r="I407" s="611" t="s">
        <v>669</v>
      </c>
      <c r="J407" s="616">
        <v>1830</v>
      </c>
      <c r="K407" s="613">
        <v>1700</v>
      </c>
      <c r="L407" s="616">
        <v>1816</v>
      </c>
      <c r="M407" s="616">
        <v>1853</v>
      </c>
      <c r="N407" s="614">
        <v>1506.59319</v>
      </c>
      <c r="O407" s="648"/>
      <c r="P407" s="648"/>
      <c r="R407" s="626"/>
      <c r="T407" s="633"/>
      <c r="U407" s="634"/>
    </row>
    <row r="408" spans="2:21" ht="19.149999999999999" customHeight="1">
      <c r="B408" s="606" t="s">
        <v>222</v>
      </c>
      <c r="C408" s="655">
        <v>5</v>
      </c>
      <c r="D408" s="615">
        <v>720</v>
      </c>
      <c r="E408" s="608">
        <v>743000</v>
      </c>
      <c r="F408" s="609" t="s">
        <v>1390</v>
      </c>
      <c r="G408" s="610"/>
      <c r="H408" s="610"/>
      <c r="I408" s="611" t="s">
        <v>44</v>
      </c>
      <c r="J408" s="616">
        <v>129</v>
      </c>
      <c r="K408" s="613">
        <v>129</v>
      </c>
      <c r="L408" s="616">
        <v>129</v>
      </c>
      <c r="M408" s="616">
        <v>139</v>
      </c>
      <c r="N408" s="614">
        <v>134.49321</v>
      </c>
      <c r="O408" s="648"/>
      <c r="P408" s="648"/>
      <c r="R408" s="626"/>
      <c r="T408" s="633"/>
      <c r="U408" s="634"/>
    </row>
    <row r="409" spans="2:21" ht="19.149999999999999" customHeight="1">
      <c r="B409" s="606" t="s">
        <v>222</v>
      </c>
      <c r="C409" s="654">
        <v>5</v>
      </c>
      <c r="D409" s="607">
        <v>730</v>
      </c>
      <c r="E409" s="608">
        <v>743000</v>
      </c>
      <c r="F409" s="703" t="s">
        <v>869</v>
      </c>
      <c r="G409" s="610"/>
      <c r="H409" s="610"/>
      <c r="I409" s="611" t="s">
        <v>175</v>
      </c>
      <c r="J409" s="616">
        <v>170</v>
      </c>
      <c r="K409" s="613">
        <v>205</v>
      </c>
      <c r="L409" s="616">
        <v>170</v>
      </c>
      <c r="M409" s="616">
        <v>170</v>
      </c>
      <c r="N409" s="614">
        <v>151.45251000000002</v>
      </c>
      <c r="O409" s="648"/>
      <c r="P409" s="648"/>
      <c r="R409" s="626"/>
      <c r="T409" s="633"/>
      <c r="U409" s="634"/>
    </row>
    <row r="410" spans="2:21" ht="19.149999999999999" customHeight="1">
      <c r="B410" s="606" t="s">
        <v>222</v>
      </c>
      <c r="C410" s="654">
        <v>5</v>
      </c>
      <c r="D410" s="607">
        <v>740</v>
      </c>
      <c r="E410" s="608">
        <v>743000</v>
      </c>
      <c r="F410" s="609" t="s">
        <v>474</v>
      </c>
      <c r="G410" s="610"/>
      <c r="H410" s="610"/>
      <c r="I410" s="611" t="s">
        <v>44</v>
      </c>
      <c r="J410" s="616">
        <v>5</v>
      </c>
      <c r="K410" s="613">
        <v>5</v>
      </c>
      <c r="L410" s="616">
        <v>5</v>
      </c>
      <c r="M410" s="616">
        <v>5</v>
      </c>
      <c r="N410" s="614">
        <v>4.9922399999999998</v>
      </c>
      <c r="O410" s="648"/>
      <c r="P410" s="648"/>
      <c r="R410" s="626"/>
      <c r="T410" s="633"/>
      <c r="U410" s="634"/>
    </row>
    <row r="411" spans="2:21" ht="19.149999999999999" customHeight="1">
      <c r="B411" s="606" t="s">
        <v>222</v>
      </c>
      <c r="C411" s="654">
        <v>5</v>
      </c>
      <c r="D411" s="607">
        <v>771</v>
      </c>
      <c r="E411" s="608">
        <v>743000</v>
      </c>
      <c r="F411" s="609" t="s">
        <v>1340</v>
      </c>
      <c r="G411" s="610"/>
      <c r="H411" s="610"/>
      <c r="I411" s="611" t="s">
        <v>175</v>
      </c>
      <c r="J411" s="616">
        <v>3100</v>
      </c>
      <c r="K411" s="613">
        <v>3100</v>
      </c>
      <c r="L411" s="616">
        <v>3500</v>
      </c>
      <c r="M411" s="616">
        <v>3500</v>
      </c>
      <c r="N411" s="614">
        <v>2793.5893799999999</v>
      </c>
      <c r="O411" s="648"/>
      <c r="P411" s="648"/>
      <c r="R411" s="626"/>
      <c r="T411" s="633"/>
      <c r="U411" s="634"/>
    </row>
    <row r="412" spans="2:21" ht="19.149999999999999" customHeight="1">
      <c r="B412" s="747"/>
      <c r="C412" s="656"/>
      <c r="D412" s="618"/>
      <c r="E412" s="619" t="s">
        <v>220</v>
      </c>
      <c r="F412" s="620" t="s">
        <v>144</v>
      </c>
      <c r="G412" s="621">
        <f>SUM(G407:G411)</f>
        <v>11</v>
      </c>
      <c r="H412" s="621">
        <f>SUM(H407:H411)</f>
        <v>10</v>
      </c>
      <c r="I412" s="622"/>
      <c r="J412" s="623">
        <f>SUM(J407:J411)</f>
        <v>5234</v>
      </c>
      <c r="K412" s="624">
        <f>SUM(K407:K411)</f>
        <v>5139</v>
      </c>
      <c r="L412" s="623">
        <f>SUM(L407:L411)</f>
        <v>5620</v>
      </c>
      <c r="M412" s="623">
        <f>SUM(M407:M411)</f>
        <v>5667</v>
      </c>
      <c r="N412" s="625">
        <f>SUM(N407:N411)</f>
        <v>4591.1205300000001</v>
      </c>
      <c r="O412" s="648"/>
      <c r="P412" s="648"/>
      <c r="R412" s="626"/>
      <c r="T412" s="633"/>
      <c r="U412" s="632"/>
    </row>
    <row r="413" spans="2:21" ht="19.149999999999999" customHeight="1">
      <c r="B413" s="704"/>
      <c r="C413" s="684"/>
      <c r="D413" s="705"/>
      <c r="E413" s="695" t="s">
        <v>145</v>
      </c>
      <c r="F413" s="687" t="s">
        <v>1038</v>
      </c>
      <c r="G413" s="706"/>
      <c r="H413" s="706"/>
      <c r="I413" s="707"/>
      <c r="J413" s="690"/>
      <c r="K413" s="693"/>
      <c r="L413" s="690"/>
      <c r="M413" s="690"/>
      <c r="N413" s="708"/>
      <c r="O413" s="648"/>
      <c r="P413" s="648"/>
      <c r="R413" s="626"/>
      <c r="T413" s="633"/>
      <c r="U413" s="632"/>
    </row>
    <row r="414" spans="2:21" ht="19.149999999999999" customHeight="1">
      <c r="B414" s="606" t="s">
        <v>1038</v>
      </c>
      <c r="C414" s="655">
        <v>4</v>
      </c>
      <c r="D414" s="615">
        <v>100</v>
      </c>
      <c r="E414" s="608">
        <v>744000</v>
      </c>
      <c r="F414" s="609" t="s">
        <v>2067</v>
      </c>
      <c r="G414" s="610">
        <v>5</v>
      </c>
      <c r="H414" s="610">
        <v>3.0944500000000001</v>
      </c>
      <c r="I414" s="611" t="s">
        <v>669</v>
      </c>
      <c r="J414" s="616">
        <v>695</v>
      </c>
      <c r="K414" s="613">
        <v>570</v>
      </c>
      <c r="L414" s="616">
        <v>833</v>
      </c>
      <c r="M414" s="616">
        <v>850</v>
      </c>
      <c r="N414" s="614">
        <v>68.791470000000004</v>
      </c>
      <c r="O414" s="648"/>
      <c r="P414" s="648"/>
      <c r="R414" s="626"/>
      <c r="T414" s="633"/>
      <c r="U414" s="634"/>
    </row>
    <row r="415" spans="2:21" ht="19.149999999999999" customHeight="1">
      <c r="B415" s="606" t="s">
        <v>1038</v>
      </c>
      <c r="C415" s="655">
        <v>5</v>
      </c>
      <c r="D415" s="615">
        <v>720</v>
      </c>
      <c r="E415" s="608">
        <v>744000</v>
      </c>
      <c r="F415" s="609" t="s">
        <v>249</v>
      </c>
      <c r="G415" s="610"/>
      <c r="H415" s="610"/>
      <c r="I415" s="611" t="s">
        <v>44</v>
      </c>
      <c r="J415" s="616">
        <f>906-6</f>
        <v>900</v>
      </c>
      <c r="K415" s="613">
        <v>906</v>
      </c>
      <c r="L415" s="616">
        <v>906</v>
      </c>
      <c r="M415" s="616">
        <v>936</v>
      </c>
      <c r="N415" s="614">
        <v>919.35635000000002</v>
      </c>
      <c r="O415" s="648"/>
      <c r="P415" s="648"/>
      <c r="R415" s="626"/>
      <c r="T415" s="633"/>
      <c r="U415" s="634"/>
    </row>
    <row r="416" spans="2:21" ht="19.149999999999999" customHeight="1">
      <c r="B416" s="606" t="s">
        <v>1038</v>
      </c>
      <c r="C416" s="655">
        <v>5</v>
      </c>
      <c r="D416" s="615">
        <v>740</v>
      </c>
      <c r="E416" s="608">
        <v>744000</v>
      </c>
      <c r="F416" s="724" t="s">
        <v>988</v>
      </c>
      <c r="G416" s="610"/>
      <c r="H416" s="610"/>
      <c r="I416" s="611" t="s">
        <v>44</v>
      </c>
      <c r="J416" s="616">
        <v>109</v>
      </c>
      <c r="K416" s="613">
        <v>109</v>
      </c>
      <c r="L416" s="616">
        <v>109</v>
      </c>
      <c r="M416" s="616">
        <v>129</v>
      </c>
      <c r="N416" s="614">
        <v>137.14965000000001</v>
      </c>
      <c r="O416" s="648"/>
      <c r="P416" s="648"/>
      <c r="R416" s="626"/>
      <c r="T416" s="633"/>
      <c r="U416" s="634"/>
    </row>
    <row r="417" spans="2:21" ht="19.149999999999999" customHeight="1">
      <c r="B417" s="606" t="s">
        <v>1038</v>
      </c>
      <c r="C417" s="654">
        <v>5</v>
      </c>
      <c r="D417" s="607">
        <v>750</v>
      </c>
      <c r="E417" s="608">
        <v>744000</v>
      </c>
      <c r="F417" s="609" t="s">
        <v>1266</v>
      </c>
      <c r="G417" s="610"/>
      <c r="H417" s="610"/>
      <c r="I417" s="611" t="s">
        <v>175</v>
      </c>
      <c r="J417" s="616">
        <v>800</v>
      </c>
      <c r="K417" s="613">
        <v>730</v>
      </c>
      <c r="L417" s="616">
        <v>861</v>
      </c>
      <c r="M417" s="616">
        <v>861</v>
      </c>
      <c r="N417" s="614">
        <v>685.55389000000002</v>
      </c>
      <c r="O417" s="648"/>
      <c r="P417" s="648"/>
      <c r="R417" s="626"/>
      <c r="T417" s="633"/>
      <c r="U417" s="634"/>
    </row>
    <row r="418" spans="2:21" ht="19.149999999999999" customHeight="1">
      <c r="B418" s="606" t="s">
        <v>1069</v>
      </c>
      <c r="C418" s="654">
        <v>4</v>
      </c>
      <c r="D418" s="607">
        <v>752</v>
      </c>
      <c r="E418" s="608">
        <v>744000</v>
      </c>
      <c r="F418" s="710" t="s">
        <v>1662</v>
      </c>
      <c r="G418" s="610"/>
      <c r="H418" s="610"/>
      <c r="I418" s="611" t="s">
        <v>175</v>
      </c>
      <c r="J418" s="616">
        <v>200</v>
      </c>
      <c r="K418" s="613">
        <v>165</v>
      </c>
      <c r="L418" s="616">
        <v>194</v>
      </c>
      <c r="M418" s="616">
        <v>205</v>
      </c>
      <c r="N418" s="614">
        <v>75.881059999999991</v>
      </c>
      <c r="O418" s="648"/>
      <c r="P418" s="648"/>
      <c r="R418" s="626"/>
      <c r="T418" s="633"/>
      <c r="U418" s="634"/>
    </row>
    <row r="419" spans="2:21" ht="19.149999999999999" customHeight="1">
      <c r="B419" s="606" t="s">
        <v>1038</v>
      </c>
      <c r="C419" s="654">
        <v>1</v>
      </c>
      <c r="D419" s="607">
        <v>753</v>
      </c>
      <c r="E419" s="608">
        <v>744000</v>
      </c>
      <c r="F419" s="609" t="s">
        <v>366</v>
      </c>
      <c r="G419" s="610"/>
      <c r="H419" s="610"/>
      <c r="I419" s="611" t="s">
        <v>175</v>
      </c>
      <c r="J419" s="616">
        <v>375</v>
      </c>
      <c r="K419" s="613">
        <v>375</v>
      </c>
      <c r="L419" s="616">
        <v>375</v>
      </c>
      <c r="M419" s="616">
        <v>375</v>
      </c>
      <c r="N419" s="614">
        <v>258.16865999999999</v>
      </c>
      <c r="O419" s="648"/>
      <c r="P419" s="648"/>
      <c r="R419" s="626"/>
      <c r="T419" s="633"/>
      <c r="U419" s="634"/>
    </row>
    <row r="420" spans="2:21" ht="19.149999999999999" customHeight="1">
      <c r="B420" s="606" t="s">
        <v>1038</v>
      </c>
      <c r="C420" s="654">
        <v>5</v>
      </c>
      <c r="D420" s="607">
        <v>771</v>
      </c>
      <c r="E420" s="608">
        <v>744000</v>
      </c>
      <c r="F420" s="710" t="s">
        <v>841</v>
      </c>
      <c r="G420" s="610"/>
      <c r="H420" s="610"/>
      <c r="I420" s="611" t="s">
        <v>175</v>
      </c>
      <c r="J420" s="616">
        <v>110</v>
      </c>
      <c r="K420" s="613">
        <v>110</v>
      </c>
      <c r="L420" s="616">
        <v>140</v>
      </c>
      <c r="M420" s="616">
        <v>140</v>
      </c>
      <c r="N420" s="614">
        <v>104.01027999999999</v>
      </c>
      <c r="O420" s="648"/>
      <c r="P420" s="648"/>
      <c r="R420" s="626"/>
      <c r="T420" s="633"/>
      <c r="U420" s="634"/>
    </row>
    <row r="421" spans="2:21" ht="26.65" customHeight="1">
      <c r="B421" s="606" t="s">
        <v>1038</v>
      </c>
      <c r="C421" s="654">
        <v>1</v>
      </c>
      <c r="D421" s="607">
        <v>780</v>
      </c>
      <c r="E421" s="608">
        <v>744000</v>
      </c>
      <c r="F421" s="710" t="s">
        <v>2169</v>
      </c>
      <c r="G421" s="610"/>
      <c r="H421" s="610"/>
      <c r="I421" s="611" t="s">
        <v>44</v>
      </c>
      <c r="J421" s="616">
        <v>88</v>
      </c>
      <c r="K421" s="613">
        <v>0</v>
      </c>
      <c r="L421" s="616">
        <v>0</v>
      </c>
      <c r="M421" s="616">
        <v>0</v>
      </c>
      <c r="N421" s="614">
        <v>0</v>
      </c>
      <c r="O421" s="648"/>
      <c r="P421" s="648"/>
      <c r="R421" s="626"/>
      <c r="T421" s="633"/>
      <c r="U421" s="634"/>
    </row>
    <row r="422" spans="2:21" ht="19.149999999999999" customHeight="1">
      <c r="B422" s="747"/>
      <c r="C422" s="656"/>
      <c r="D422" s="618"/>
      <c r="E422" s="619" t="s">
        <v>145</v>
      </c>
      <c r="F422" s="620" t="s">
        <v>883</v>
      </c>
      <c r="G422" s="621">
        <f>SUM(G414:G421)</f>
        <v>5</v>
      </c>
      <c r="H422" s="621">
        <f>SUM(H414:H421)</f>
        <v>3.0944500000000001</v>
      </c>
      <c r="I422" s="622"/>
      <c r="J422" s="623">
        <f>SUM(J414:J421)</f>
        <v>3277</v>
      </c>
      <c r="K422" s="624">
        <f>SUM(K414:K421)</f>
        <v>2965</v>
      </c>
      <c r="L422" s="623">
        <f>SUM(L414:L421)</f>
        <v>3418</v>
      </c>
      <c r="M422" s="623">
        <f>SUM(M414:M421)</f>
        <v>3496</v>
      </c>
      <c r="N422" s="625">
        <f>SUM(N414:N421)</f>
        <v>2248.9113600000001</v>
      </c>
      <c r="O422" s="648"/>
      <c r="P422" s="648"/>
      <c r="R422" s="626"/>
      <c r="T422" s="633"/>
      <c r="U422" s="632"/>
    </row>
    <row r="423" spans="2:21" ht="19.149999999999999" customHeight="1">
      <c r="B423" s="704"/>
      <c r="C423" s="684"/>
      <c r="D423" s="705"/>
      <c r="E423" s="695" t="s">
        <v>843</v>
      </c>
      <c r="F423" s="687" t="s">
        <v>831</v>
      </c>
      <c r="G423" s="706"/>
      <c r="H423" s="706"/>
      <c r="I423" s="707"/>
      <c r="J423" s="690"/>
      <c r="K423" s="693"/>
      <c r="L423" s="690"/>
      <c r="M423" s="690"/>
      <c r="N423" s="708"/>
      <c r="O423" s="648"/>
      <c r="P423" s="648"/>
      <c r="R423" s="626"/>
      <c r="T423" s="633"/>
      <c r="U423" s="632"/>
    </row>
    <row r="424" spans="2:21" ht="19.149999999999999" customHeight="1">
      <c r="B424" s="606" t="s">
        <v>831</v>
      </c>
      <c r="C424" s="654">
        <v>5</v>
      </c>
      <c r="D424" s="607">
        <v>420</v>
      </c>
      <c r="E424" s="608">
        <v>745000</v>
      </c>
      <c r="F424" s="609" t="s">
        <v>1190</v>
      </c>
      <c r="G424" s="752"/>
      <c r="H424" s="752"/>
      <c r="I424" s="611" t="s">
        <v>44</v>
      </c>
      <c r="J424" s="616">
        <v>786</v>
      </c>
      <c r="K424" s="613">
        <v>786</v>
      </c>
      <c r="L424" s="616">
        <v>786</v>
      </c>
      <c r="M424" s="616">
        <v>786</v>
      </c>
      <c r="N424" s="614">
        <v>701.40357999999992</v>
      </c>
      <c r="O424" s="648"/>
      <c r="P424" s="648"/>
      <c r="R424" s="626"/>
      <c r="T424" s="633"/>
      <c r="U424" s="634"/>
    </row>
    <row r="425" spans="2:21" ht="19.149999999999999" customHeight="1">
      <c r="B425" s="606" t="s">
        <v>831</v>
      </c>
      <c r="C425" s="654">
        <v>4</v>
      </c>
      <c r="D425" s="607">
        <v>751</v>
      </c>
      <c r="E425" s="608">
        <v>745000</v>
      </c>
      <c r="F425" s="609" t="s">
        <v>1916</v>
      </c>
      <c r="G425" s="610"/>
      <c r="H425" s="610"/>
      <c r="I425" s="611" t="s">
        <v>44</v>
      </c>
      <c r="J425" s="616">
        <v>290</v>
      </c>
      <c r="K425" s="613">
        <v>255</v>
      </c>
      <c r="L425" s="616">
        <v>264</v>
      </c>
      <c r="M425" s="616">
        <v>270</v>
      </c>
      <c r="N425" s="614">
        <v>223.19361999999998</v>
      </c>
      <c r="O425" s="648"/>
      <c r="P425" s="648"/>
      <c r="R425" s="626"/>
      <c r="T425" s="633"/>
      <c r="U425" s="634"/>
    </row>
    <row r="426" spans="2:21" ht="19.149999999999999" customHeight="1">
      <c r="B426" s="606" t="s">
        <v>831</v>
      </c>
      <c r="C426" s="654">
        <v>4</v>
      </c>
      <c r="D426" s="607">
        <v>830</v>
      </c>
      <c r="E426" s="608">
        <v>745000</v>
      </c>
      <c r="F426" s="609" t="s">
        <v>93</v>
      </c>
      <c r="G426" s="610"/>
      <c r="H426" s="610"/>
      <c r="I426" s="611" t="s">
        <v>175</v>
      </c>
      <c r="J426" s="616">
        <v>507</v>
      </c>
      <c r="K426" s="613">
        <v>507</v>
      </c>
      <c r="L426" s="616">
        <v>507</v>
      </c>
      <c r="M426" s="616">
        <v>486</v>
      </c>
      <c r="N426" s="614">
        <v>486.21699999999998</v>
      </c>
      <c r="O426" s="648"/>
      <c r="P426" s="648"/>
      <c r="R426" s="626"/>
      <c r="T426" s="633"/>
      <c r="U426" s="634"/>
    </row>
    <row r="427" spans="2:21" ht="19.149999999999999" customHeight="1">
      <c r="B427" s="747"/>
      <c r="C427" s="656"/>
      <c r="D427" s="618"/>
      <c r="E427" s="619" t="s">
        <v>843</v>
      </c>
      <c r="F427" s="620" t="s">
        <v>844</v>
      </c>
      <c r="G427" s="621">
        <f>SUM(G423:G426)</f>
        <v>0</v>
      </c>
      <c r="H427" s="621">
        <f>SUM(H423:H426)</f>
        <v>0</v>
      </c>
      <c r="I427" s="622"/>
      <c r="J427" s="623">
        <f>SUM(J423:J426)</f>
        <v>1583</v>
      </c>
      <c r="K427" s="624">
        <f>SUM(K423:K426)</f>
        <v>1548</v>
      </c>
      <c r="L427" s="623">
        <f>SUM(L423:L426)</f>
        <v>1557</v>
      </c>
      <c r="M427" s="623">
        <f>SUM(M423:M426)</f>
        <v>1542</v>
      </c>
      <c r="N427" s="625">
        <f>SUM(N423:N426)</f>
        <v>1410.8141999999998</v>
      </c>
      <c r="O427" s="648"/>
      <c r="P427" s="648"/>
      <c r="R427" s="626"/>
      <c r="T427" s="633"/>
      <c r="U427" s="632"/>
    </row>
    <row r="428" spans="2:21" ht="19.149999999999999" customHeight="1">
      <c r="B428" s="704"/>
      <c r="C428" s="684"/>
      <c r="D428" s="705"/>
      <c r="E428" s="695" t="s">
        <v>845</v>
      </c>
      <c r="F428" s="687" t="s">
        <v>846</v>
      </c>
      <c r="G428" s="706"/>
      <c r="H428" s="706"/>
      <c r="I428" s="707"/>
      <c r="J428" s="690"/>
      <c r="K428" s="693"/>
      <c r="L428" s="690"/>
      <c r="M428" s="690"/>
      <c r="N428" s="708"/>
      <c r="O428" s="648"/>
      <c r="P428" s="648"/>
      <c r="R428" s="626"/>
      <c r="T428" s="633"/>
      <c r="U428" s="632"/>
    </row>
    <row r="429" spans="2:21" ht="19.149999999999999" customHeight="1">
      <c r="B429" s="606" t="s">
        <v>846</v>
      </c>
      <c r="C429" s="655">
        <v>3</v>
      </c>
      <c r="D429" s="615">
        <v>100</v>
      </c>
      <c r="E429" s="608">
        <v>746000</v>
      </c>
      <c r="F429" s="609" t="s">
        <v>848</v>
      </c>
      <c r="G429" s="610">
        <v>8</v>
      </c>
      <c r="H429" s="610">
        <v>8</v>
      </c>
      <c r="I429" s="611" t="s">
        <v>669</v>
      </c>
      <c r="J429" s="616">
        <v>1557</v>
      </c>
      <c r="K429" s="613">
        <v>1522</v>
      </c>
      <c r="L429" s="616">
        <v>1579</v>
      </c>
      <c r="M429" s="616">
        <v>1580</v>
      </c>
      <c r="N429" s="614">
        <v>1382.12959</v>
      </c>
      <c r="O429" s="648"/>
      <c r="P429" s="648"/>
      <c r="R429" s="626"/>
      <c r="T429" s="633"/>
      <c r="U429" s="634"/>
    </row>
    <row r="430" spans="2:21" ht="19.149999999999999" customHeight="1">
      <c r="B430" s="606" t="s">
        <v>846</v>
      </c>
      <c r="C430" s="654">
        <v>3</v>
      </c>
      <c r="D430" s="607">
        <v>127</v>
      </c>
      <c r="E430" s="608">
        <v>746000</v>
      </c>
      <c r="F430" s="609" t="s">
        <v>1121</v>
      </c>
      <c r="G430" s="610"/>
      <c r="H430" s="610"/>
      <c r="I430" s="611" t="s">
        <v>669</v>
      </c>
      <c r="J430" s="616">
        <v>5</v>
      </c>
      <c r="K430" s="613">
        <v>4</v>
      </c>
      <c r="L430" s="616">
        <v>5</v>
      </c>
      <c r="M430" s="616">
        <v>5</v>
      </c>
      <c r="N430" s="614">
        <v>3.79956</v>
      </c>
      <c r="O430" s="648"/>
      <c r="P430" s="648"/>
      <c r="R430" s="626"/>
      <c r="T430" s="633"/>
      <c r="U430" s="634"/>
    </row>
    <row r="431" spans="2:21" ht="19.149999999999999" customHeight="1">
      <c r="B431" s="606" t="s">
        <v>846</v>
      </c>
      <c r="C431" s="654">
        <v>3</v>
      </c>
      <c r="D431" s="607">
        <v>432</v>
      </c>
      <c r="E431" s="608">
        <v>746000</v>
      </c>
      <c r="F431" s="609" t="s">
        <v>5</v>
      </c>
      <c r="G431" s="610"/>
      <c r="H431" s="610"/>
      <c r="I431" s="611" t="s">
        <v>175</v>
      </c>
      <c r="J431" s="616">
        <v>7000</v>
      </c>
      <c r="K431" s="613">
        <v>7000</v>
      </c>
      <c r="L431" s="616">
        <v>5900</v>
      </c>
      <c r="M431" s="616">
        <v>5900</v>
      </c>
      <c r="N431" s="614">
        <v>5820.8803899999994</v>
      </c>
      <c r="O431" s="648"/>
      <c r="P431" s="648"/>
      <c r="R431" s="626"/>
      <c r="T431" s="633"/>
      <c r="U431" s="634"/>
    </row>
    <row r="432" spans="2:21" ht="19.149999999999999" customHeight="1">
      <c r="B432" s="606" t="s">
        <v>846</v>
      </c>
      <c r="C432" s="654">
        <v>3</v>
      </c>
      <c r="D432" s="607">
        <v>720</v>
      </c>
      <c r="E432" s="608">
        <v>746000</v>
      </c>
      <c r="F432" s="609" t="s">
        <v>6</v>
      </c>
      <c r="G432" s="610"/>
      <c r="H432" s="610"/>
      <c r="I432" s="611" t="s">
        <v>44</v>
      </c>
      <c r="J432" s="616">
        <v>239</v>
      </c>
      <c r="K432" s="613">
        <v>239</v>
      </c>
      <c r="L432" s="616">
        <v>239</v>
      </c>
      <c r="M432" s="616">
        <v>196</v>
      </c>
      <c r="N432" s="614">
        <v>192.91643999999999</v>
      </c>
      <c r="O432" s="648"/>
      <c r="P432" s="648"/>
      <c r="R432" s="626"/>
      <c r="T432" s="633"/>
      <c r="U432" s="634"/>
    </row>
    <row r="433" spans="2:21" ht="19.149999999999999" customHeight="1">
      <c r="B433" s="606" t="s">
        <v>846</v>
      </c>
      <c r="C433" s="654">
        <v>3</v>
      </c>
      <c r="D433" s="607">
        <v>721</v>
      </c>
      <c r="E433" s="608">
        <v>746000</v>
      </c>
      <c r="F433" s="609" t="s">
        <v>1545</v>
      </c>
      <c r="G433" s="610"/>
      <c r="H433" s="610"/>
      <c r="I433" s="611" t="s">
        <v>44</v>
      </c>
      <c r="J433" s="616">
        <v>258</v>
      </c>
      <c r="K433" s="613">
        <v>229</v>
      </c>
      <c r="L433" s="616">
        <v>229</v>
      </c>
      <c r="M433" s="616">
        <v>272</v>
      </c>
      <c r="N433" s="614">
        <v>227.44210999999999</v>
      </c>
      <c r="O433" s="648"/>
      <c r="P433" s="648"/>
      <c r="R433" s="626"/>
      <c r="T433" s="633"/>
      <c r="U433" s="634"/>
    </row>
    <row r="434" spans="2:21" ht="19.149999999999999" customHeight="1">
      <c r="B434" s="606" t="s">
        <v>846</v>
      </c>
      <c r="C434" s="654">
        <v>5</v>
      </c>
      <c r="D434" s="607">
        <v>730</v>
      </c>
      <c r="E434" s="608">
        <v>746000</v>
      </c>
      <c r="F434" s="703" t="s">
        <v>195</v>
      </c>
      <c r="G434" s="610"/>
      <c r="H434" s="610"/>
      <c r="I434" s="611" t="s">
        <v>175</v>
      </c>
      <c r="J434" s="616">
        <v>95</v>
      </c>
      <c r="K434" s="613">
        <v>95</v>
      </c>
      <c r="L434" s="616">
        <v>90</v>
      </c>
      <c r="M434" s="616">
        <v>90</v>
      </c>
      <c r="N434" s="614">
        <v>72.051770000000005</v>
      </c>
      <c r="O434" s="648"/>
      <c r="P434" s="648"/>
      <c r="R434" s="626"/>
      <c r="T434" s="633"/>
      <c r="U434" s="634"/>
    </row>
    <row r="435" spans="2:21" ht="19.149999999999999" customHeight="1">
      <c r="B435" s="606" t="s">
        <v>846</v>
      </c>
      <c r="C435" s="654">
        <v>3</v>
      </c>
      <c r="D435" s="607">
        <v>740</v>
      </c>
      <c r="E435" s="608">
        <v>746000</v>
      </c>
      <c r="F435" s="609" t="s">
        <v>474</v>
      </c>
      <c r="G435" s="610"/>
      <c r="H435" s="610"/>
      <c r="I435" s="611" t="s">
        <v>44</v>
      </c>
      <c r="J435" s="616">
        <v>10</v>
      </c>
      <c r="K435" s="613">
        <v>10</v>
      </c>
      <c r="L435" s="616">
        <v>10</v>
      </c>
      <c r="M435" s="616">
        <v>10</v>
      </c>
      <c r="N435" s="614">
        <v>9.5043799999999994</v>
      </c>
      <c r="O435" s="648"/>
      <c r="P435" s="648"/>
      <c r="R435" s="626"/>
      <c r="T435" s="633"/>
      <c r="U435" s="634"/>
    </row>
    <row r="436" spans="2:21" ht="19.149999999999999" customHeight="1">
      <c r="B436" s="606" t="s">
        <v>846</v>
      </c>
      <c r="C436" s="654">
        <v>3</v>
      </c>
      <c r="D436" s="607">
        <v>750</v>
      </c>
      <c r="E436" s="608">
        <v>746000</v>
      </c>
      <c r="F436" s="609" t="s">
        <v>668</v>
      </c>
      <c r="G436" s="610"/>
      <c r="H436" s="610"/>
      <c r="I436" s="611" t="s">
        <v>175</v>
      </c>
      <c r="J436" s="616">
        <v>13587</v>
      </c>
      <c r="K436" s="613">
        <v>12822</v>
      </c>
      <c r="L436" s="616">
        <v>12822</v>
      </c>
      <c r="M436" s="616">
        <v>12822</v>
      </c>
      <c r="N436" s="614">
        <v>10846.23841</v>
      </c>
      <c r="O436" s="648"/>
      <c r="P436" s="648"/>
      <c r="R436" s="626"/>
      <c r="T436" s="633"/>
      <c r="U436" s="634"/>
    </row>
    <row r="437" spans="2:21" ht="19.149999999999999" customHeight="1">
      <c r="B437" s="606" t="s">
        <v>846</v>
      </c>
      <c r="C437" s="654">
        <v>3</v>
      </c>
      <c r="D437" s="607">
        <v>751</v>
      </c>
      <c r="E437" s="608">
        <v>746000</v>
      </c>
      <c r="F437" s="609" t="s">
        <v>507</v>
      </c>
      <c r="G437" s="610"/>
      <c r="H437" s="610"/>
      <c r="I437" s="611" t="s">
        <v>175</v>
      </c>
      <c r="J437" s="616">
        <v>263</v>
      </c>
      <c r="K437" s="613">
        <v>263</v>
      </c>
      <c r="L437" s="616">
        <v>263</v>
      </c>
      <c r="M437" s="616">
        <v>263</v>
      </c>
      <c r="N437" s="614">
        <v>354.46325999999999</v>
      </c>
      <c r="O437" s="648"/>
      <c r="P437" s="648"/>
      <c r="R437" s="626"/>
      <c r="T437" s="633"/>
      <c r="U437" s="634"/>
    </row>
    <row r="438" spans="2:21" ht="19.149999999999999" customHeight="1">
      <c r="B438" s="606" t="s">
        <v>846</v>
      </c>
      <c r="C438" s="654">
        <v>3</v>
      </c>
      <c r="D438" s="607">
        <v>752</v>
      </c>
      <c r="E438" s="608">
        <v>746000</v>
      </c>
      <c r="F438" s="609" t="s">
        <v>1198</v>
      </c>
      <c r="G438" s="610"/>
      <c r="H438" s="610"/>
      <c r="I438" s="611" t="s">
        <v>175</v>
      </c>
      <c r="J438" s="616">
        <f>1118-418</f>
        <v>700</v>
      </c>
      <c r="K438" s="613">
        <v>1103</v>
      </c>
      <c r="L438" s="616">
        <v>1103</v>
      </c>
      <c r="M438" s="616">
        <v>1023</v>
      </c>
      <c r="N438" s="614">
        <v>939.69855000000007</v>
      </c>
      <c r="O438" s="648"/>
      <c r="P438" s="648"/>
      <c r="R438" s="626"/>
      <c r="T438" s="633"/>
      <c r="U438" s="634"/>
    </row>
    <row r="439" spans="2:21" ht="19.149999999999999" customHeight="1">
      <c r="B439" s="606" t="s">
        <v>846</v>
      </c>
      <c r="C439" s="654">
        <v>3</v>
      </c>
      <c r="D439" s="607">
        <v>753</v>
      </c>
      <c r="E439" s="608">
        <v>746000</v>
      </c>
      <c r="F439" s="609" t="s">
        <v>829</v>
      </c>
      <c r="G439" s="610"/>
      <c r="H439" s="610"/>
      <c r="I439" s="611" t="s">
        <v>175</v>
      </c>
      <c r="J439" s="616">
        <v>1080</v>
      </c>
      <c r="K439" s="613">
        <v>1000</v>
      </c>
      <c r="L439" s="616">
        <v>1055</v>
      </c>
      <c r="M439" s="616">
        <v>1055</v>
      </c>
      <c r="N439" s="614">
        <v>949.04948000000002</v>
      </c>
      <c r="O439" s="648"/>
      <c r="P439" s="648"/>
      <c r="R439" s="626"/>
      <c r="T439" s="633"/>
      <c r="U439" s="634"/>
    </row>
    <row r="440" spans="2:21" ht="19.149999999999999" customHeight="1">
      <c r="B440" s="606" t="s">
        <v>846</v>
      </c>
      <c r="C440" s="654">
        <v>3</v>
      </c>
      <c r="D440" s="607">
        <v>754</v>
      </c>
      <c r="E440" s="608">
        <v>746000</v>
      </c>
      <c r="F440" s="609" t="s">
        <v>571</v>
      </c>
      <c r="G440" s="610"/>
      <c r="H440" s="610"/>
      <c r="I440" s="611" t="s">
        <v>175</v>
      </c>
      <c r="J440" s="616">
        <v>1230</v>
      </c>
      <c r="K440" s="613">
        <v>1630</v>
      </c>
      <c r="L440" s="616">
        <v>1630</v>
      </c>
      <c r="M440" s="616">
        <v>1230</v>
      </c>
      <c r="N440" s="614">
        <v>1655.8673000000001</v>
      </c>
      <c r="O440" s="648"/>
      <c r="P440" s="648"/>
      <c r="R440" s="626"/>
      <c r="T440" s="633"/>
      <c r="U440" s="634"/>
    </row>
    <row r="441" spans="2:21" ht="19.149999999999999" customHeight="1">
      <c r="B441" s="606" t="s">
        <v>846</v>
      </c>
      <c r="C441" s="654">
        <v>3</v>
      </c>
      <c r="D441" s="607">
        <v>757</v>
      </c>
      <c r="E441" s="608">
        <v>746000</v>
      </c>
      <c r="F441" s="609" t="s">
        <v>302</v>
      </c>
      <c r="G441" s="610"/>
      <c r="H441" s="610"/>
      <c r="I441" s="611" t="s">
        <v>175</v>
      </c>
      <c r="J441" s="616">
        <v>454</v>
      </c>
      <c r="K441" s="613">
        <v>435</v>
      </c>
      <c r="L441" s="616">
        <v>435</v>
      </c>
      <c r="M441" s="616">
        <v>432</v>
      </c>
      <c r="N441" s="614">
        <v>378.56304</v>
      </c>
      <c r="O441" s="648"/>
      <c r="P441" s="648"/>
      <c r="R441" s="626"/>
      <c r="T441" s="633"/>
      <c r="U441" s="634"/>
    </row>
    <row r="442" spans="2:21" ht="19.149999999999999" customHeight="1">
      <c r="B442" s="606" t="s">
        <v>846</v>
      </c>
      <c r="C442" s="654">
        <v>3</v>
      </c>
      <c r="D442" s="607">
        <v>758</v>
      </c>
      <c r="E442" s="608">
        <v>746000</v>
      </c>
      <c r="F442" s="609" t="s">
        <v>1236</v>
      </c>
      <c r="G442" s="610"/>
      <c r="H442" s="610"/>
      <c r="I442" s="611" t="s">
        <v>175</v>
      </c>
      <c r="J442" s="616">
        <v>1200</v>
      </c>
      <c r="K442" s="613">
        <v>1180</v>
      </c>
      <c r="L442" s="616">
        <v>1180</v>
      </c>
      <c r="M442" s="616">
        <v>1200</v>
      </c>
      <c r="N442" s="614">
        <v>1193.68182</v>
      </c>
      <c r="O442" s="648"/>
      <c r="P442" s="648"/>
      <c r="R442" s="626"/>
      <c r="T442" s="633"/>
      <c r="U442" s="634"/>
    </row>
    <row r="443" spans="2:21" ht="18.649999999999999" customHeight="1">
      <c r="B443" s="606" t="s">
        <v>846</v>
      </c>
      <c r="C443" s="654">
        <v>3</v>
      </c>
      <c r="D443" s="607">
        <v>759</v>
      </c>
      <c r="E443" s="608">
        <v>746000</v>
      </c>
      <c r="F443" s="609" t="s">
        <v>134</v>
      </c>
      <c r="G443" s="610"/>
      <c r="H443" s="610"/>
      <c r="I443" s="611" t="s">
        <v>175</v>
      </c>
      <c r="J443" s="616">
        <v>5</v>
      </c>
      <c r="K443" s="613">
        <v>3</v>
      </c>
      <c r="L443" s="616">
        <v>13</v>
      </c>
      <c r="M443" s="616">
        <v>13</v>
      </c>
      <c r="N443" s="614">
        <v>6.8949699999999998</v>
      </c>
      <c r="O443" s="648"/>
      <c r="P443" s="648"/>
      <c r="R443" s="626"/>
      <c r="T443" s="633"/>
      <c r="U443" s="634"/>
    </row>
    <row r="444" spans="2:21" ht="28">
      <c r="B444" s="606" t="s">
        <v>846</v>
      </c>
      <c r="C444" s="654">
        <v>3</v>
      </c>
      <c r="D444" s="607">
        <v>760</v>
      </c>
      <c r="E444" s="608">
        <v>746000</v>
      </c>
      <c r="F444" s="609" t="s">
        <v>1952</v>
      </c>
      <c r="G444" s="610"/>
      <c r="H444" s="610"/>
      <c r="I444" s="611" t="s">
        <v>175</v>
      </c>
      <c r="J444" s="616">
        <v>0</v>
      </c>
      <c r="K444" s="613">
        <v>0</v>
      </c>
      <c r="L444" s="616">
        <v>0</v>
      </c>
      <c r="M444" s="616">
        <v>0</v>
      </c>
      <c r="N444" s="614">
        <v>299.33840999999995</v>
      </c>
      <c r="O444" s="648"/>
      <c r="P444" s="648"/>
      <c r="R444" s="626"/>
      <c r="T444" s="633"/>
      <c r="U444" s="634"/>
    </row>
    <row r="445" spans="2:21" ht="19.149999999999999" customHeight="1">
      <c r="B445" s="606" t="s">
        <v>846</v>
      </c>
      <c r="C445" s="654">
        <v>3</v>
      </c>
      <c r="D445" s="607">
        <v>780</v>
      </c>
      <c r="E445" s="608">
        <v>746000</v>
      </c>
      <c r="F445" s="609" t="s">
        <v>303</v>
      </c>
      <c r="G445" s="610"/>
      <c r="H445" s="610"/>
      <c r="I445" s="611" t="s">
        <v>44</v>
      </c>
      <c r="J445" s="616">
        <f>1230-200</f>
        <v>1030</v>
      </c>
      <c r="K445" s="613">
        <v>1030</v>
      </c>
      <c r="L445" s="616">
        <v>1030</v>
      </c>
      <c r="M445" s="616">
        <v>1030</v>
      </c>
      <c r="N445" s="614">
        <v>1005.60538</v>
      </c>
      <c r="O445" s="648"/>
      <c r="P445" s="648"/>
      <c r="R445" s="626"/>
      <c r="T445" s="633"/>
      <c r="U445" s="634"/>
    </row>
    <row r="446" spans="2:21" ht="19.149999999999999" customHeight="1">
      <c r="B446" s="606" t="s">
        <v>846</v>
      </c>
      <c r="C446" s="654">
        <v>3</v>
      </c>
      <c r="D446" s="607">
        <v>781</v>
      </c>
      <c r="E446" s="608">
        <v>746000</v>
      </c>
      <c r="F446" s="609" t="s">
        <v>1546</v>
      </c>
      <c r="G446" s="610"/>
      <c r="H446" s="610"/>
      <c r="I446" s="611" t="s">
        <v>44</v>
      </c>
      <c r="J446" s="616">
        <v>150</v>
      </c>
      <c r="K446" s="613">
        <v>150</v>
      </c>
      <c r="L446" s="616">
        <v>150</v>
      </c>
      <c r="M446" s="616">
        <v>150</v>
      </c>
      <c r="N446" s="614">
        <v>148.86981</v>
      </c>
      <c r="O446" s="648"/>
      <c r="P446" s="648"/>
      <c r="R446" s="626"/>
      <c r="T446" s="633"/>
      <c r="U446" s="634"/>
    </row>
    <row r="447" spans="2:21" ht="19.149999999999999" customHeight="1">
      <c r="B447" s="747"/>
      <c r="C447" s="656"/>
      <c r="D447" s="618"/>
      <c r="E447" s="619" t="s">
        <v>845</v>
      </c>
      <c r="F447" s="620" t="s">
        <v>304</v>
      </c>
      <c r="G447" s="621">
        <f>SUM(G429:G446)</f>
        <v>8</v>
      </c>
      <c r="H447" s="621">
        <f>SUM(H429:H446)</f>
        <v>8</v>
      </c>
      <c r="I447" s="622"/>
      <c r="J447" s="623">
        <f>SUM(J429:J446)</f>
        <v>28863</v>
      </c>
      <c r="K447" s="624">
        <f>SUM(K429:K446)</f>
        <v>28715</v>
      </c>
      <c r="L447" s="623">
        <f>SUM(L429:L446)</f>
        <v>27733</v>
      </c>
      <c r="M447" s="623">
        <f>SUM(M429:M446)</f>
        <v>27271</v>
      </c>
      <c r="N447" s="625">
        <f>SUM(N429:N446)</f>
        <v>25486.994670000011</v>
      </c>
      <c r="O447" s="648"/>
      <c r="P447" s="648"/>
      <c r="R447" s="626"/>
      <c r="T447" s="633"/>
      <c r="U447" s="632"/>
    </row>
    <row r="448" spans="2:21" ht="19.149999999999999" customHeight="1">
      <c r="B448" s="704"/>
      <c r="C448" s="684"/>
      <c r="D448" s="705"/>
      <c r="E448" s="695" t="s">
        <v>168</v>
      </c>
      <c r="F448" s="753" t="s">
        <v>418</v>
      </c>
      <c r="G448" s="706"/>
      <c r="H448" s="706"/>
      <c r="I448" s="707"/>
      <c r="J448" s="690"/>
      <c r="K448" s="693"/>
      <c r="L448" s="690"/>
      <c r="M448" s="690"/>
      <c r="N448" s="708"/>
      <c r="O448" s="648"/>
      <c r="P448" s="648"/>
      <c r="R448" s="626"/>
      <c r="T448" s="633"/>
      <c r="U448" s="632"/>
    </row>
    <row r="449" spans="2:21" ht="19.149999999999999" customHeight="1">
      <c r="B449" s="754" t="s">
        <v>907</v>
      </c>
      <c r="C449" s="655">
        <v>5</v>
      </c>
      <c r="D449" s="615">
        <v>100</v>
      </c>
      <c r="E449" s="608">
        <v>746100</v>
      </c>
      <c r="F449" s="609" t="s">
        <v>848</v>
      </c>
      <c r="G449" s="610">
        <v>6.5</v>
      </c>
      <c r="H449" s="610">
        <v>6.5</v>
      </c>
      <c r="I449" s="611" t="s">
        <v>669</v>
      </c>
      <c r="J449" s="616">
        <v>1300</v>
      </c>
      <c r="K449" s="613">
        <v>1200</v>
      </c>
      <c r="L449" s="616">
        <v>1387</v>
      </c>
      <c r="M449" s="616">
        <v>1415</v>
      </c>
      <c r="N449" s="614">
        <v>1142.2374199999999</v>
      </c>
      <c r="O449" s="648"/>
      <c r="P449" s="648"/>
      <c r="R449" s="626"/>
      <c r="T449" s="633"/>
      <c r="U449" s="634"/>
    </row>
    <row r="450" spans="2:21" ht="19.149999999999999" customHeight="1">
      <c r="B450" s="754" t="s">
        <v>907</v>
      </c>
      <c r="C450" s="654">
        <v>5</v>
      </c>
      <c r="D450" s="607">
        <v>101</v>
      </c>
      <c r="E450" s="608">
        <v>746100</v>
      </c>
      <c r="F450" s="609" t="s">
        <v>726</v>
      </c>
      <c r="G450" s="610">
        <v>2</v>
      </c>
      <c r="H450" s="610">
        <v>2</v>
      </c>
      <c r="I450" s="611" t="s">
        <v>669</v>
      </c>
      <c r="J450" s="616">
        <v>420</v>
      </c>
      <c r="K450" s="613">
        <v>410</v>
      </c>
      <c r="L450" s="616">
        <v>428</v>
      </c>
      <c r="M450" s="616">
        <v>428</v>
      </c>
      <c r="N450" s="614">
        <v>395.13466999999997</v>
      </c>
      <c r="O450" s="648"/>
      <c r="P450" s="648"/>
      <c r="R450" s="626"/>
      <c r="T450" s="633"/>
      <c r="U450" s="634"/>
    </row>
    <row r="451" spans="2:21" ht="19.149999999999999" customHeight="1">
      <c r="B451" s="754" t="s">
        <v>907</v>
      </c>
      <c r="C451" s="655">
        <v>5</v>
      </c>
      <c r="D451" s="615">
        <v>420</v>
      </c>
      <c r="E451" s="608">
        <v>746100</v>
      </c>
      <c r="F451" s="609" t="s">
        <v>1544</v>
      </c>
      <c r="G451" s="610"/>
      <c r="H451" s="610"/>
      <c r="I451" s="611" t="s">
        <v>44</v>
      </c>
      <c r="J451" s="616">
        <v>405</v>
      </c>
      <c r="K451" s="613">
        <v>405</v>
      </c>
      <c r="L451" s="616">
        <v>405</v>
      </c>
      <c r="M451" s="616">
        <v>425</v>
      </c>
      <c r="N451" s="614">
        <v>364.87383</v>
      </c>
      <c r="O451" s="648"/>
      <c r="P451" s="648"/>
      <c r="R451" s="626"/>
      <c r="T451" s="633"/>
      <c r="U451" s="634"/>
    </row>
    <row r="452" spans="2:21" ht="19.149999999999999" customHeight="1">
      <c r="B452" s="754" t="s">
        <v>907</v>
      </c>
      <c r="C452" s="654">
        <v>5</v>
      </c>
      <c r="D452" s="607">
        <v>430</v>
      </c>
      <c r="E452" s="608">
        <v>746100</v>
      </c>
      <c r="F452" s="609" t="s">
        <v>192</v>
      </c>
      <c r="G452" s="610"/>
      <c r="H452" s="610"/>
      <c r="I452" s="611" t="s">
        <v>175</v>
      </c>
      <c r="J452" s="616">
        <v>152</v>
      </c>
      <c r="K452" s="613">
        <v>152</v>
      </c>
      <c r="L452" s="616">
        <v>226</v>
      </c>
      <c r="M452" s="616">
        <v>226</v>
      </c>
      <c r="N452" s="614">
        <v>150.91166000000001</v>
      </c>
      <c r="O452" s="648"/>
      <c r="P452" s="648"/>
      <c r="R452" s="626"/>
      <c r="T452" s="633"/>
      <c r="U452" s="634"/>
    </row>
    <row r="453" spans="2:21" ht="19.149999999999999" customHeight="1">
      <c r="B453" s="754" t="s">
        <v>907</v>
      </c>
      <c r="C453" s="654">
        <v>5</v>
      </c>
      <c r="D453" s="607">
        <v>432</v>
      </c>
      <c r="E453" s="608">
        <v>746100</v>
      </c>
      <c r="F453" s="609" t="s">
        <v>690</v>
      </c>
      <c r="G453" s="610"/>
      <c r="H453" s="610"/>
      <c r="I453" s="611" t="s">
        <v>175</v>
      </c>
      <c r="J453" s="616">
        <v>1010</v>
      </c>
      <c r="K453" s="613">
        <v>780</v>
      </c>
      <c r="L453" s="616">
        <v>707</v>
      </c>
      <c r="M453" s="616">
        <v>707</v>
      </c>
      <c r="N453" s="614">
        <v>557.0797</v>
      </c>
      <c r="O453" s="648"/>
      <c r="P453" s="648"/>
      <c r="R453" s="626"/>
      <c r="T453" s="633"/>
      <c r="U453" s="634"/>
    </row>
    <row r="454" spans="2:21" ht="19.149999999999999" customHeight="1">
      <c r="B454" s="754" t="s">
        <v>907</v>
      </c>
      <c r="C454" s="654">
        <v>5</v>
      </c>
      <c r="D454" s="607">
        <v>470</v>
      </c>
      <c r="E454" s="608">
        <v>746100</v>
      </c>
      <c r="F454" s="609" t="s">
        <v>343</v>
      </c>
      <c r="G454" s="610"/>
      <c r="H454" s="610"/>
      <c r="I454" s="611" t="s">
        <v>44</v>
      </c>
      <c r="J454" s="616">
        <v>5</v>
      </c>
      <c r="K454" s="613">
        <v>5</v>
      </c>
      <c r="L454" s="616">
        <v>5</v>
      </c>
      <c r="M454" s="616">
        <v>5</v>
      </c>
      <c r="N454" s="614">
        <v>5.35731</v>
      </c>
      <c r="O454" s="648"/>
      <c r="P454" s="648"/>
      <c r="R454" s="626"/>
      <c r="T454" s="633"/>
      <c r="U454" s="634"/>
    </row>
    <row r="455" spans="2:21" ht="19.149999999999999" customHeight="1">
      <c r="B455" s="754" t="s">
        <v>907</v>
      </c>
      <c r="C455" s="654">
        <v>10</v>
      </c>
      <c r="D455" s="607">
        <v>540</v>
      </c>
      <c r="E455" s="608">
        <v>746100</v>
      </c>
      <c r="F455" s="609" t="s">
        <v>1648</v>
      </c>
      <c r="G455" s="610"/>
      <c r="H455" s="610"/>
      <c r="I455" s="611" t="s">
        <v>175</v>
      </c>
      <c r="J455" s="616">
        <v>24</v>
      </c>
      <c r="K455" s="613">
        <v>23</v>
      </c>
      <c r="L455" s="616">
        <v>23</v>
      </c>
      <c r="M455" s="616">
        <v>23</v>
      </c>
      <c r="N455" s="614">
        <v>23.982770000000002</v>
      </c>
      <c r="O455" s="648"/>
      <c r="P455" s="648"/>
      <c r="R455" s="626"/>
      <c r="T455" s="633"/>
      <c r="U455" s="634"/>
    </row>
    <row r="456" spans="2:21" ht="19.149999999999999" customHeight="1">
      <c r="B456" s="754" t="s">
        <v>907</v>
      </c>
      <c r="C456" s="654">
        <v>12</v>
      </c>
      <c r="D456" s="607">
        <v>550</v>
      </c>
      <c r="E456" s="608">
        <v>746100</v>
      </c>
      <c r="F456" s="609" t="s">
        <v>607</v>
      </c>
      <c r="G456" s="610"/>
      <c r="H456" s="610"/>
      <c r="I456" s="611" t="s">
        <v>44</v>
      </c>
      <c r="J456" s="616">
        <v>5</v>
      </c>
      <c r="K456" s="613">
        <v>5</v>
      </c>
      <c r="L456" s="616">
        <v>5</v>
      </c>
      <c r="M456" s="616">
        <v>5</v>
      </c>
      <c r="N456" s="614">
        <v>3.8000400000000001</v>
      </c>
      <c r="O456" s="648"/>
      <c r="P456" s="648"/>
      <c r="R456" s="626"/>
      <c r="T456" s="633"/>
      <c r="U456" s="634"/>
    </row>
    <row r="457" spans="2:21" ht="19.149999999999999" customHeight="1">
      <c r="B457" s="754" t="s">
        <v>907</v>
      </c>
      <c r="C457" s="655">
        <v>5</v>
      </c>
      <c r="D457" s="615">
        <v>720</v>
      </c>
      <c r="E457" s="608">
        <v>746100</v>
      </c>
      <c r="F457" s="609" t="s">
        <v>908</v>
      </c>
      <c r="G457" s="610"/>
      <c r="H457" s="610"/>
      <c r="I457" s="611" t="s">
        <v>44</v>
      </c>
      <c r="J457" s="616">
        <v>137</v>
      </c>
      <c r="K457" s="613">
        <v>157</v>
      </c>
      <c r="L457" s="616">
        <v>157</v>
      </c>
      <c r="M457" s="616">
        <v>177</v>
      </c>
      <c r="N457" s="614">
        <v>114.56471999999999</v>
      </c>
      <c r="O457" s="648"/>
      <c r="P457" s="648"/>
      <c r="R457" s="626"/>
      <c r="T457" s="633"/>
      <c r="U457" s="634"/>
    </row>
    <row r="458" spans="2:21" ht="19.149999999999999" customHeight="1">
      <c r="B458" s="754" t="s">
        <v>907</v>
      </c>
      <c r="C458" s="654">
        <v>5</v>
      </c>
      <c r="D458" s="607">
        <v>730</v>
      </c>
      <c r="E458" s="608">
        <v>746100</v>
      </c>
      <c r="F458" s="703" t="s">
        <v>869</v>
      </c>
      <c r="G458" s="610"/>
      <c r="H458" s="610"/>
      <c r="I458" s="611" t="s">
        <v>175</v>
      </c>
      <c r="J458" s="616">
        <v>145</v>
      </c>
      <c r="K458" s="613">
        <v>165</v>
      </c>
      <c r="L458" s="616">
        <v>165</v>
      </c>
      <c r="M458" s="616">
        <v>165</v>
      </c>
      <c r="N458" s="614">
        <v>155.64551</v>
      </c>
      <c r="O458" s="648"/>
      <c r="P458" s="648"/>
      <c r="R458" s="626"/>
      <c r="T458" s="633"/>
      <c r="U458" s="634"/>
    </row>
    <row r="459" spans="2:21" ht="19.149999999999999" customHeight="1">
      <c r="B459" s="754" t="s">
        <v>907</v>
      </c>
      <c r="C459" s="654">
        <v>5</v>
      </c>
      <c r="D459" s="607">
        <v>740</v>
      </c>
      <c r="E459" s="608">
        <v>746100</v>
      </c>
      <c r="F459" s="703" t="s">
        <v>474</v>
      </c>
      <c r="G459" s="610"/>
      <c r="H459" s="610"/>
      <c r="I459" s="611" t="s">
        <v>44</v>
      </c>
      <c r="J459" s="616">
        <v>15</v>
      </c>
      <c r="K459" s="613">
        <v>15</v>
      </c>
      <c r="L459" s="616">
        <v>15</v>
      </c>
      <c r="M459" s="616">
        <v>15</v>
      </c>
      <c r="N459" s="614">
        <v>15.213379999999999</v>
      </c>
      <c r="O459" s="648"/>
      <c r="P459" s="648"/>
      <c r="R459" s="626"/>
      <c r="T459" s="633"/>
      <c r="U459" s="634"/>
    </row>
    <row r="460" spans="2:21" ht="19.149999999999999" customHeight="1">
      <c r="B460" s="754" t="s">
        <v>907</v>
      </c>
      <c r="C460" s="655">
        <v>5</v>
      </c>
      <c r="D460" s="615">
        <v>750</v>
      </c>
      <c r="E460" s="608">
        <v>746100</v>
      </c>
      <c r="F460" s="609" t="s">
        <v>214</v>
      </c>
      <c r="G460" s="610"/>
      <c r="H460" s="610"/>
      <c r="I460" s="611" t="s">
        <v>175</v>
      </c>
      <c r="J460" s="616">
        <f>2650-70</f>
        <v>2580</v>
      </c>
      <c r="K460" s="613">
        <v>2200</v>
      </c>
      <c r="L460" s="616">
        <v>2260</v>
      </c>
      <c r="M460" s="616">
        <v>2380</v>
      </c>
      <c r="N460" s="614">
        <v>2309.7258400000001</v>
      </c>
      <c r="O460" s="648"/>
      <c r="P460" s="648"/>
      <c r="R460" s="626"/>
      <c r="T460" s="633"/>
      <c r="U460" s="634"/>
    </row>
    <row r="461" spans="2:21" ht="19.149999999999999" customHeight="1">
      <c r="B461" s="754" t="s">
        <v>907</v>
      </c>
      <c r="C461" s="654">
        <v>5</v>
      </c>
      <c r="D461" s="607">
        <v>751</v>
      </c>
      <c r="E461" s="608">
        <v>746100</v>
      </c>
      <c r="F461" s="609" t="s">
        <v>1138</v>
      </c>
      <c r="G461" s="610"/>
      <c r="H461" s="610"/>
      <c r="I461" s="611" t="s">
        <v>175</v>
      </c>
      <c r="J461" s="616">
        <v>1214</v>
      </c>
      <c r="K461" s="613">
        <v>885</v>
      </c>
      <c r="L461" s="616">
        <v>885</v>
      </c>
      <c r="M461" s="616">
        <v>855</v>
      </c>
      <c r="N461" s="614">
        <v>662.63800000000003</v>
      </c>
      <c r="O461" s="648"/>
      <c r="P461" s="648"/>
      <c r="R461" s="626"/>
      <c r="T461" s="633"/>
      <c r="U461" s="634"/>
    </row>
    <row r="462" spans="2:21" ht="19.149999999999999" customHeight="1">
      <c r="B462" s="754" t="s">
        <v>907</v>
      </c>
      <c r="C462" s="654">
        <v>5</v>
      </c>
      <c r="D462" s="607">
        <v>752</v>
      </c>
      <c r="E462" s="608">
        <v>746100</v>
      </c>
      <c r="F462" s="609" t="s">
        <v>1139</v>
      </c>
      <c r="G462" s="610"/>
      <c r="H462" s="610"/>
      <c r="I462" s="611" t="s">
        <v>175</v>
      </c>
      <c r="J462" s="616">
        <v>120</v>
      </c>
      <c r="K462" s="613">
        <v>100</v>
      </c>
      <c r="L462" s="616">
        <v>142</v>
      </c>
      <c r="M462" s="616">
        <v>142</v>
      </c>
      <c r="N462" s="614">
        <v>89.561999999999998</v>
      </c>
      <c r="O462" s="648"/>
      <c r="P462" s="648"/>
      <c r="R462" s="626"/>
      <c r="T462" s="633"/>
      <c r="U462" s="634"/>
    </row>
    <row r="463" spans="2:21" ht="19.149999999999999" customHeight="1">
      <c r="B463" s="754" t="s">
        <v>907</v>
      </c>
      <c r="C463" s="654">
        <v>9</v>
      </c>
      <c r="D463" s="607">
        <v>753</v>
      </c>
      <c r="E463" s="608">
        <v>746100</v>
      </c>
      <c r="F463" s="609" t="s">
        <v>1145</v>
      </c>
      <c r="G463" s="610"/>
      <c r="H463" s="610"/>
      <c r="I463" s="611" t="s">
        <v>175</v>
      </c>
      <c r="J463" s="616">
        <v>205</v>
      </c>
      <c r="K463" s="613">
        <v>199</v>
      </c>
      <c r="L463" s="616">
        <v>199</v>
      </c>
      <c r="M463" s="616">
        <v>199</v>
      </c>
      <c r="N463" s="614">
        <v>181.84700000000001</v>
      </c>
      <c r="O463" s="648"/>
      <c r="P463" s="648"/>
      <c r="R463" s="626"/>
      <c r="T463" s="633"/>
      <c r="U463" s="634"/>
    </row>
    <row r="464" spans="2:21" ht="19.149999999999999" customHeight="1">
      <c r="B464" s="754" t="s">
        <v>907</v>
      </c>
      <c r="C464" s="654">
        <v>5</v>
      </c>
      <c r="D464" s="607">
        <v>757</v>
      </c>
      <c r="E464" s="608">
        <v>746100</v>
      </c>
      <c r="F464" s="609" t="s">
        <v>781</v>
      </c>
      <c r="G464" s="610"/>
      <c r="H464" s="610"/>
      <c r="I464" s="611" t="s">
        <v>175</v>
      </c>
      <c r="J464" s="616">
        <v>50</v>
      </c>
      <c r="K464" s="613">
        <v>50</v>
      </c>
      <c r="L464" s="616">
        <v>50</v>
      </c>
      <c r="M464" s="616">
        <v>50</v>
      </c>
      <c r="N464" s="614">
        <v>23.29768</v>
      </c>
      <c r="O464" s="648"/>
      <c r="P464" s="648"/>
      <c r="R464" s="626"/>
      <c r="T464" s="633"/>
      <c r="U464" s="634"/>
    </row>
    <row r="465" spans="2:25" ht="19.149999999999999" customHeight="1">
      <c r="B465" s="754" t="s">
        <v>907</v>
      </c>
      <c r="C465" s="655">
        <v>5</v>
      </c>
      <c r="D465" s="615">
        <v>780</v>
      </c>
      <c r="E465" s="608">
        <v>746100</v>
      </c>
      <c r="F465" s="609" t="s">
        <v>1443</v>
      </c>
      <c r="G465" s="610"/>
      <c r="H465" s="610"/>
      <c r="I465" s="611" t="s">
        <v>44</v>
      </c>
      <c r="J465" s="616">
        <f>337-6</f>
        <v>331</v>
      </c>
      <c r="K465" s="613">
        <v>337</v>
      </c>
      <c r="L465" s="616">
        <v>337</v>
      </c>
      <c r="M465" s="616">
        <v>387</v>
      </c>
      <c r="N465" s="614">
        <v>380.80579</v>
      </c>
      <c r="O465" s="648"/>
      <c r="P465" s="648"/>
      <c r="R465" s="626"/>
      <c r="T465" s="633"/>
      <c r="U465" s="634"/>
    </row>
    <row r="466" spans="2:25" ht="19.149999999999999" customHeight="1">
      <c r="B466" s="754" t="s">
        <v>907</v>
      </c>
      <c r="C466" s="654">
        <v>5</v>
      </c>
      <c r="D466" s="607">
        <v>781</v>
      </c>
      <c r="E466" s="608">
        <v>746100</v>
      </c>
      <c r="F466" s="609" t="s">
        <v>997</v>
      </c>
      <c r="G466" s="610"/>
      <c r="H466" s="610"/>
      <c r="I466" s="611" t="s">
        <v>44</v>
      </c>
      <c r="J466" s="616">
        <v>26</v>
      </c>
      <c r="K466" s="613">
        <v>26</v>
      </c>
      <c r="L466" s="616">
        <v>26</v>
      </c>
      <c r="M466" s="616">
        <v>26</v>
      </c>
      <c r="N466" s="614">
        <v>19.87</v>
      </c>
      <c r="O466" s="648"/>
      <c r="P466" s="648"/>
      <c r="R466" s="626"/>
      <c r="T466" s="633"/>
      <c r="U466" s="634"/>
    </row>
    <row r="467" spans="2:25" ht="19.149999999999999" customHeight="1">
      <c r="B467" s="754" t="s">
        <v>907</v>
      </c>
      <c r="C467" s="655">
        <v>5</v>
      </c>
      <c r="D467" s="615">
        <v>782</v>
      </c>
      <c r="E467" s="608">
        <v>746100</v>
      </c>
      <c r="F467" s="609" t="s">
        <v>1663</v>
      </c>
      <c r="G467" s="610"/>
      <c r="H467" s="610"/>
      <c r="I467" s="611" t="s">
        <v>44</v>
      </c>
      <c r="J467" s="616">
        <v>134</v>
      </c>
      <c r="K467" s="613">
        <v>134</v>
      </c>
      <c r="L467" s="616">
        <v>134</v>
      </c>
      <c r="M467" s="616">
        <v>174</v>
      </c>
      <c r="N467" s="614">
        <v>165.43313000000001</v>
      </c>
      <c r="O467" s="648"/>
      <c r="P467" s="648"/>
      <c r="R467" s="626"/>
      <c r="T467" s="633"/>
      <c r="U467" s="634"/>
    </row>
    <row r="468" spans="2:25" ht="19.149999999999999" customHeight="1">
      <c r="B468" s="754" t="s">
        <v>907</v>
      </c>
      <c r="C468" s="655">
        <v>5</v>
      </c>
      <c r="D468" s="615">
        <v>783</v>
      </c>
      <c r="E468" s="608">
        <v>746100</v>
      </c>
      <c r="F468" s="609" t="s">
        <v>1798</v>
      </c>
      <c r="G468" s="610"/>
      <c r="H468" s="610"/>
      <c r="I468" s="611" t="s">
        <v>44</v>
      </c>
      <c r="J468" s="616">
        <f>225-20</f>
        <v>205</v>
      </c>
      <c r="K468" s="613">
        <v>225</v>
      </c>
      <c r="L468" s="616">
        <v>225</v>
      </c>
      <c r="M468" s="616">
        <v>255</v>
      </c>
      <c r="N468" s="614">
        <v>186.12667000000002</v>
      </c>
      <c r="O468" s="648"/>
      <c r="P468" s="648"/>
      <c r="R468" s="626"/>
      <c r="T468" s="633"/>
      <c r="U468" s="634"/>
    </row>
    <row r="469" spans="2:25" ht="19.149999999999999" customHeight="1">
      <c r="B469" s="617"/>
      <c r="C469" s="656"/>
      <c r="D469" s="618"/>
      <c r="E469" s="619" t="s">
        <v>168</v>
      </c>
      <c r="F469" s="755" t="s">
        <v>642</v>
      </c>
      <c r="G469" s="621">
        <f>SUM(G448:G468)</f>
        <v>8.5</v>
      </c>
      <c r="H469" s="621">
        <f>SUM(H448:H468)</f>
        <v>8.5</v>
      </c>
      <c r="I469" s="622"/>
      <c r="J469" s="623">
        <f>SUM(J448:J468)</f>
        <v>8483</v>
      </c>
      <c r="K469" s="624">
        <f>SUM(K448:K468)</f>
        <v>7473</v>
      </c>
      <c r="L469" s="623">
        <f>SUM(L448:L468)</f>
        <v>7781</v>
      </c>
      <c r="M469" s="623">
        <f>SUM(M448:M468)</f>
        <v>8059</v>
      </c>
      <c r="N469" s="625">
        <f>SUM(N448:N468)</f>
        <v>6948.1071199999997</v>
      </c>
      <c r="O469" s="648"/>
      <c r="P469" s="648"/>
      <c r="R469" s="626"/>
      <c r="T469" s="633"/>
      <c r="U469" s="632"/>
    </row>
    <row r="470" spans="2:25" ht="19.149999999999999" customHeight="1">
      <c r="B470" s="704"/>
      <c r="C470" s="684"/>
      <c r="D470" s="705"/>
      <c r="E470" s="695" t="s">
        <v>305</v>
      </c>
      <c r="F470" s="687" t="s">
        <v>885</v>
      </c>
      <c r="G470" s="706"/>
      <c r="H470" s="706"/>
      <c r="I470" s="707"/>
      <c r="J470" s="690"/>
      <c r="K470" s="693"/>
      <c r="L470" s="690"/>
      <c r="M470" s="690"/>
      <c r="N470" s="708"/>
      <c r="O470" s="648"/>
      <c r="P470" s="648"/>
      <c r="R470" s="626"/>
      <c r="T470" s="633"/>
      <c r="U470" s="632"/>
    </row>
    <row r="471" spans="2:25" ht="19.149999999999999" customHeight="1">
      <c r="B471" s="606" t="s">
        <v>885</v>
      </c>
      <c r="C471" s="655">
        <v>6</v>
      </c>
      <c r="D471" s="615">
        <v>101</v>
      </c>
      <c r="E471" s="608">
        <v>747200</v>
      </c>
      <c r="F471" s="609" t="s">
        <v>623</v>
      </c>
      <c r="G471" s="610">
        <v>6.7</v>
      </c>
      <c r="H471" s="610">
        <v>7.7060000000000004</v>
      </c>
      <c r="I471" s="611" t="s">
        <v>669</v>
      </c>
      <c r="J471" s="616">
        <f>1765-165</f>
        <v>1600</v>
      </c>
      <c r="K471" s="613">
        <v>1565</v>
      </c>
      <c r="L471" s="616">
        <v>1730</v>
      </c>
      <c r="M471" s="616">
        <v>1765</v>
      </c>
      <c r="N471" s="614">
        <v>1560.846</v>
      </c>
      <c r="O471" s="648"/>
      <c r="P471" s="648"/>
      <c r="R471" s="626"/>
      <c r="T471" s="633"/>
      <c r="U471" s="634"/>
      <c r="Y471" s="657"/>
    </row>
    <row r="472" spans="2:25" ht="19.149999999999999" customHeight="1">
      <c r="B472" s="606" t="s">
        <v>885</v>
      </c>
      <c r="C472" s="655">
        <v>6</v>
      </c>
      <c r="D472" s="615">
        <v>102</v>
      </c>
      <c r="E472" s="608">
        <v>747200</v>
      </c>
      <c r="F472" s="609" t="s">
        <v>306</v>
      </c>
      <c r="G472" s="610">
        <v>29</v>
      </c>
      <c r="H472" s="610">
        <v>25.403799999999997</v>
      </c>
      <c r="I472" s="611" t="s">
        <v>669</v>
      </c>
      <c r="J472" s="616">
        <v>11860</v>
      </c>
      <c r="K472" s="613">
        <v>11593</v>
      </c>
      <c r="L472" s="616">
        <v>12603</v>
      </c>
      <c r="M472" s="616">
        <v>12860</v>
      </c>
      <c r="N472" s="614">
        <v>11676.801240000001</v>
      </c>
      <c r="O472" s="648"/>
      <c r="P472" s="648"/>
      <c r="R472" s="626"/>
      <c r="T472" s="633"/>
      <c r="U472" s="634"/>
    </row>
    <row r="473" spans="2:25" ht="19.149999999999999" customHeight="1">
      <c r="B473" s="606" t="s">
        <v>885</v>
      </c>
      <c r="C473" s="654">
        <v>6</v>
      </c>
      <c r="D473" s="607">
        <v>127</v>
      </c>
      <c r="E473" s="608">
        <v>747200</v>
      </c>
      <c r="F473" s="609" t="s">
        <v>307</v>
      </c>
      <c r="G473" s="610"/>
      <c r="H473" s="610"/>
      <c r="I473" s="611" t="s">
        <v>669</v>
      </c>
      <c r="J473" s="616">
        <v>180</v>
      </c>
      <c r="K473" s="613">
        <v>147</v>
      </c>
      <c r="L473" s="616">
        <v>147</v>
      </c>
      <c r="M473" s="616">
        <v>262</v>
      </c>
      <c r="N473" s="614">
        <v>238.1028</v>
      </c>
      <c r="O473" s="648"/>
      <c r="P473" s="648"/>
      <c r="R473" s="626"/>
      <c r="T473" s="633"/>
      <c r="U473" s="634"/>
    </row>
    <row r="474" spans="2:25" ht="19.149999999999999" customHeight="1">
      <c r="B474" s="606" t="s">
        <v>885</v>
      </c>
      <c r="C474" s="654">
        <v>6</v>
      </c>
      <c r="D474" s="607">
        <v>420</v>
      </c>
      <c r="E474" s="608">
        <v>747200</v>
      </c>
      <c r="F474" s="724" t="s">
        <v>308</v>
      </c>
      <c r="G474" s="610"/>
      <c r="H474" s="610"/>
      <c r="I474" s="611" t="s">
        <v>44</v>
      </c>
      <c r="J474" s="616">
        <v>190</v>
      </c>
      <c r="K474" s="613">
        <v>200</v>
      </c>
      <c r="L474" s="616">
        <v>200</v>
      </c>
      <c r="M474" s="616">
        <v>200</v>
      </c>
      <c r="N474" s="614">
        <v>190.27662000000001</v>
      </c>
      <c r="O474" s="648"/>
      <c r="P474" s="648"/>
      <c r="R474" s="626"/>
      <c r="T474" s="633"/>
      <c r="U474" s="634"/>
    </row>
    <row r="475" spans="2:25" ht="19.149999999999999" customHeight="1">
      <c r="B475" s="606" t="s">
        <v>885</v>
      </c>
      <c r="C475" s="654">
        <v>6</v>
      </c>
      <c r="D475" s="607">
        <v>430</v>
      </c>
      <c r="E475" s="608">
        <v>747200</v>
      </c>
      <c r="F475" s="609" t="s">
        <v>192</v>
      </c>
      <c r="G475" s="610"/>
      <c r="H475" s="610"/>
      <c r="I475" s="611" t="s">
        <v>175</v>
      </c>
      <c r="J475" s="616">
        <v>10</v>
      </c>
      <c r="K475" s="613">
        <v>5</v>
      </c>
      <c r="L475" s="616">
        <v>10</v>
      </c>
      <c r="M475" s="616">
        <v>10</v>
      </c>
      <c r="N475" s="614">
        <v>5.1487700000000007</v>
      </c>
      <c r="O475" s="648"/>
      <c r="P475" s="648"/>
      <c r="R475" s="626"/>
      <c r="T475" s="633"/>
      <c r="U475" s="634"/>
    </row>
    <row r="476" spans="2:25" ht="19.149999999999999" customHeight="1">
      <c r="B476" s="606" t="s">
        <v>885</v>
      </c>
      <c r="C476" s="654">
        <v>6</v>
      </c>
      <c r="D476" s="607">
        <v>432</v>
      </c>
      <c r="E476" s="608">
        <v>747200</v>
      </c>
      <c r="F476" s="609" t="s">
        <v>103</v>
      </c>
      <c r="G476" s="610"/>
      <c r="H476" s="610"/>
      <c r="I476" s="611" t="s">
        <v>175</v>
      </c>
      <c r="J476" s="616">
        <v>200</v>
      </c>
      <c r="K476" s="613">
        <v>200</v>
      </c>
      <c r="L476" s="616">
        <v>200</v>
      </c>
      <c r="M476" s="616">
        <v>200</v>
      </c>
      <c r="N476" s="614">
        <v>183.23935</v>
      </c>
      <c r="O476" s="648"/>
      <c r="P476" s="648"/>
      <c r="R476" s="626"/>
      <c r="T476" s="633"/>
      <c r="U476" s="634"/>
    </row>
    <row r="477" spans="2:25" ht="19.149999999999999" customHeight="1">
      <c r="B477" s="606" t="s">
        <v>885</v>
      </c>
      <c r="C477" s="655">
        <v>6</v>
      </c>
      <c r="D477" s="615">
        <v>521</v>
      </c>
      <c r="E477" s="608">
        <v>747200</v>
      </c>
      <c r="F477" s="609" t="s">
        <v>309</v>
      </c>
      <c r="G477" s="610"/>
      <c r="H477" s="610"/>
      <c r="I477" s="611" t="s">
        <v>175</v>
      </c>
      <c r="J477" s="616">
        <v>76</v>
      </c>
      <c r="K477" s="613">
        <v>2</v>
      </c>
      <c r="L477" s="616">
        <v>2</v>
      </c>
      <c r="M477" s="616">
        <v>76</v>
      </c>
      <c r="N477" s="614">
        <v>59.344999999999999</v>
      </c>
      <c r="O477" s="648"/>
      <c r="P477" s="648"/>
      <c r="R477" s="626"/>
      <c r="T477" s="633"/>
      <c r="U477" s="634"/>
    </row>
    <row r="478" spans="2:25" ht="19.149999999999999" customHeight="1">
      <c r="B478" s="606" t="s">
        <v>885</v>
      </c>
      <c r="C478" s="654">
        <v>10</v>
      </c>
      <c r="D478" s="607">
        <v>540</v>
      </c>
      <c r="E478" s="608">
        <v>747200</v>
      </c>
      <c r="F478" s="609" t="s">
        <v>1648</v>
      </c>
      <c r="G478" s="610"/>
      <c r="H478" s="610"/>
      <c r="I478" s="611" t="s">
        <v>175</v>
      </c>
      <c r="J478" s="616">
        <v>22</v>
      </c>
      <c r="K478" s="613">
        <v>20</v>
      </c>
      <c r="L478" s="616">
        <v>22</v>
      </c>
      <c r="M478" s="616">
        <v>17</v>
      </c>
      <c r="N478" s="614">
        <v>16.921299999999999</v>
      </c>
      <c r="O478" s="648"/>
      <c r="P478" s="648"/>
      <c r="R478" s="626"/>
      <c r="T478" s="633"/>
      <c r="U478" s="634"/>
    </row>
    <row r="479" spans="2:25" ht="19.149999999999999" customHeight="1">
      <c r="B479" s="606" t="s">
        <v>885</v>
      </c>
      <c r="C479" s="654">
        <v>12</v>
      </c>
      <c r="D479" s="607">
        <v>550</v>
      </c>
      <c r="E479" s="608">
        <v>747200</v>
      </c>
      <c r="F479" s="609" t="s">
        <v>607</v>
      </c>
      <c r="G479" s="610"/>
      <c r="H479" s="610"/>
      <c r="I479" s="611" t="s">
        <v>44</v>
      </c>
      <c r="J479" s="616">
        <v>5</v>
      </c>
      <c r="K479" s="613">
        <v>5</v>
      </c>
      <c r="L479" s="616">
        <v>5</v>
      </c>
      <c r="M479" s="616">
        <v>5</v>
      </c>
      <c r="N479" s="614">
        <v>1.8032000000000001</v>
      </c>
      <c r="O479" s="648"/>
      <c r="P479" s="648"/>
      <c r="R479" s="626"/>
      <c r="T479" s="633"/>
      <c r="U479" s="634"/>
    </row>
    <row r="480" spans="2:25" ht="19.149999999999999" customHeight="1">
      <c r="B480" s="606" t="s">
        <v>885</v>
      </c>
      <c r="C480" s="654">
        <v>5</v>
      </c>
      <c r="D480" s="607">
        <v>730</v>
      </c>
      <c r="E480" s="608">
        <v>747200</v>
      </c>
      <c r="F480" s="703" t="s">
        <v>869</v>
      </c>
      <c r="G480" s="610"/>
      <c r="H480" s="610"/>
      <c r="I480" s="611" t="s">
        <v>175</v>
      </c>
      <c r="J480" s="616">
        <v>550</v>
      </c>
      <c r="K480" s="613">
        <v>550</v>
      </c>
      <c r="L480" s="616">
        <v>550</v>
      </c>
      <c r="M480" s="616">
        <v>550</v>
      </c>
      <c r="N480" s="614">
        <v>596.87441000000001</v>
      </c>
      <c r="O480" s="648"/>
      <c r="P480" s="648"/>
      <c r="R480" s="626"/>
      <c r="T480" s="633"/>
      <c r="U480" s="634"/>
    </row>
    <row r="481" spans="2:21" ht="19.149999999999999" customHeight="1">
      <c r="B481" s="606" t="s">
        <v>885</v>
      </c>
      <c r="C481" s="654">
        <v>6</v>
      </c>
      <c r="D481" s="607">
        <v>740</v>
      </c>
      <c r="E481" s="608">
        <v>747200</v>
      </c>
      <c r="F481" s="609" t="s">
        <v>434</v>
      </c>
      <c r="G481" s="610"/>
      <c r="H481" s="610"/>
      <c r="I481" s="611" t="s">
        <v>44</v>
      </c>
      <c r="J481" s="616">
        <v>121</v>
      </c>
      <c r="K481" s="613">
        <v>127</v>
      </c>
      <c r="L481" s="616">
        <v>127</v>
      </c>
      <c r="M481" s="616">
        <v>127</v>
      </c>
      <c r="N481" s="614">
        <v>117.80927</v>
      </c>
      <c r="O481" s="648"/>
      <c r="P481" s="648"/>
      <c r="R481" s="626"/>
      <c r="T481" s="633"/>
      <c r="U481" s="634"/>
    </row>
    <row r="482" spans="2:21" ht="19.149999999999999" customHeight="1">
      <c r="B482" s="606" t="s">
        <v>885</v>
      </c>
      <c r="C482" s="655">
        <v>6</v>
      </c>
      <c r="D482" s="615">
        <v>750</v>
      </c>
      <c r="E482" s="608">
        <v>747200</v>
      </c>
      <c r="F482" s="609" t="s">
        <v>925</v>
      </c>
      <c r="G482" s="610"/>
      <c r="H482" s="610"/>
      <c r="I482" s="611" t="s">
        <v>175</v>
      </c>
      <c r="J482" s="616">
        <v>400</v>
      </c>
      <c r="K482" s="613">
        <v>270</v>
      </c>
      <c r="L482" s="616">
        <v>320</v>
      </c>
      <c r="M482" s="616">
        <v>500</v>
      </c>
      <c r="N482" s="614">
        <v>349.10861999999997</v>
      </c>
      <c r="O482" s="648"/>
      <c r="P482" s="648"/>
      <c r="R482" s="626"/>
      <c r="T482" s="633"/>
      <c r="U482" s="634"/>
    </row>
    <row r="483" spans="2:21" ht="19.149999999999999" customHeight="1">
      <c r="B483" s="606" t="s">
        <v>885</v>
      </c>
      <c r="C483" s="655">
        <v>6</v>
      </c>
      <c r="D483" s="615">
        <v>751</v>
      </c>
      <c r="E483" s="608">
        <v>747200</v>
      </c>
      <c r="F483" s="609" t="s">
        <v>214</v>
      </c>
      <c r="G483" s="610"/>
      <c r="H483" s="610"/>
      <c r="I483" s="611" t="s">
        <v>175</v>
      </c>
      <c r="J483" s="616">
        <v>2374</v>
      </c>
      <c r="K483" s="613">
        <v>2050</v>
      </c>
      <c r="L483" s="616">
        <v>2050</v>
      </c>
      <c r="M483" s="616">
        <v>2300</v>
      </c>
      <c r="N483" s="614">
        <v>2215.1709999999998</v>
      </c>
      <c r="O483" s="648"/>
      <c r="P483" s="648"/>
      <c r="R483" s="626"/>
      <c r="T483" s="633"/>
      <c r="U483" s="634"/>
    </row>
    <row r="484" spans="2:21" ht="19.149999999999999" customHeight="1">
      <c r="B484" s="606" t="s">
        <v>885</v>
      </c>
      <c r="C484" s="655">
        <v>6</v>
      </c>
      <c r="D484" s="615">
        <v>752</v>
      </c>
      <c r="E484" s="608">
        <v>747200</v>
      </c>
      <c r="F484" s="609" t="s">
        <v>311</v>
      </c>
      <c r="G484" s="610"/>
      <c r="H484" s="610"/>
      <c r="I484" s="611" t="s">
        <v>44</v>
      </c>
      <c r="J484" s="616">
        <v>243</v>
      </c>
      <c r="K484" s="613">
        <v>200</v>
      </c>
      <c r="L484" s="616">
        <v>200</v>
      </c>
      <c r="M484" s="616">
        <v>256</v>
      </c>
      <c r="N484" s="614">
        <v>256</v>
      </c>
      <c r="O484" s="648"/>
      <c r="P484" s="648"/>
      <c r="R484" s="626"/>
      <c r="T484" s="633"/>
      <c r="U484" s="634"/>
    </row>
    <row r="485" spans="2:21" ht="19.149999999999999" customHeight="1">
      <c r="B485" s="606" t="s">
        <v>885</v>
      </c>
      <c r="C485" s="655">
        <v>6</v>
      </c>
      <c r="D485" s="615">
        <v>753</v>
      </c>
      <c r="E485" s="608">
        <v>747200</v>
      </c>
      <c r="F485" s="609" t="s">
        <v>301</v>
      </c>
      <c r="G485" s="610"/>
      <c r="H485" s="610"/>
      <c r="I485" s="611" t="s">
        <v>175</v>
      </c>
      <c r="J485" s="616">
        <v>1380</v>
      </c>
      <c r="K485" s="613">
        <v>920</v>
      </c>
      <c r="L485" s="616">
        <v>1140</v>
      </c>
      <c r="M485" s="616">
        <v>1380</v>
      </c>
      <c r="N485" s="614">
        <v>1300.25108</v>
      </c>
      <c r="O485" s="648"/>
      <c r="P485" s="648"/>
      <c r="R485" s="626"/>
      <c r="T485" s="633"/>
      <c r="U485" s="634"/>
    </row>
    <row r="486" spans="2:21" ht="19.149999999999999" customHeight="1">
      <c r="B486" s="606" t="s">
        <v>885</v>
      </c>
      <c r="C486" s="654">
        <v>6</v>
      </c>
      <c r="D486" s="607">
        <v>780</v>
      </c>
      <c r="E486" s="608">
        <v>747200</v>
      </c>
      <c r="F486" s="609" t="s">
        <v>920</v>
      </c>
      <c r="G486" s="610"/>
      <c r="H486" s="610"/>
      <c r="I486" s="611" t="s">
        <v>44</v>
      </c>
      <c r="J486" s="616">
        <v>297</v>
      </c>
      <c r="K486" s="613">
        <v>263</v>
      </c>
      <c r="L486" s="616">
        <v>263</v>
      </c>
      <c r="M486" s="616">
        <v>313</v>
      </c>
      <c r="N486" s="614">
        <v>250.23335999999998</v>
      </c>
      <c r="O486" s="648"/>
      <c r="P486" s="648"/>
      <c r="R486" s="626"/>
      <c r="T486" s="633"/>
      <c r="U486" s="634"/>
    </row>
    <row r="487" spans="2:21" ht="19.149999999999999" customHeight="1">
      <c r="B487" s="617"/>
      <c r="C487" s="656"/>
      <c r="D487" s="618"/>
      <c r="E487" s="619" t="s">
        <v>305</v>
      </c>
      <c r="F487" s="620" t="s">
        <v>433</v>
      </c>
      <c r="G487" s="621">
        <f>SUM(G470:G486)</f>
        <v>35.700000000000003</v>
      </c>
      <c r="H487" s="621">
        <f>SUM(H470:H486)</f>
        <v>33.1098</v>
      </c>
      <c r="I487" s="622"/>
      <c r="J487" s="623">
        <f>SUM(J470:J486)</f>
        <v>19508</v>
      </c>
      <c r="K487" s="624">
        <f>SUM(K470:K486)</f>
        <v>18117</v>
      </c>
      <c r="L487" s="623">
        <f>SUM(L470:L486)</f>
        <v>19569</v>
      </c>
      <c r="M487" s="623">
        <f>SUM(M470:M486)</f>
        <v>20821</v>
      </c>
      <c r="N487" s="625">
        <f>SUM(N470:N486)</f>
        <v>19017.93202</v>
      </c>
      <c r="O487" s="648"/>
      <c r="P487" s="648"/>
      <c r="R487" s="626"/>
      <c r="T487" s="633"/>
      <c r="U487" s="632"/>
    </row>
    <row r="488" spans="2:21" ht="19.149999999999999" customHeight="1">
      <c r="B488" s="747"/>
      <c r="C488" s="656"/>
      <c r="D488" s="618"/>
      <c r="E488" s="619" t="s">
        <v>217</v>
      </c>
      <c r="F488" s="620" t="s">
        <v>926</v>
      </c>
      <c r="G488" s="621">
        <f>SUMIF($E$397:$E$487,"*.",G397:G487)</f>
        <v>84.7</v>
      </c>
      <c r="H488" s="621">
        <f>SUMIF($E$397:$E$487,"*.",H397:H487)</f>
        <v>77.905383333333333</v>
      </c>
      <c r="I488" s="622"/>
      <c r="J488" s="623">
        <f>SUMIF($E$397:$E$487,"*.",J397:J487)</f>
        <v>72041</v>
      </c>
      <c r="K488" s="624">
        <f>SUMIF($E$397:$E$487,"*.",K397:K487)</f>
        <v>68884</v>
      </c>
      <c r="L488" s="623">
        <f>SUMIF($E$397:$E$487,"*.",L397:L487)</f>
        <v>70683</v>
      </c>
      <c r="M488" s="623">
        <f>SUMIF($E$397:$E$487,"*.",M397:M487)</f>
        <v>71887</v>
      </c>
      <c r="N488" s="625">
        <f>SUMIF($E$397:$E$487,"*.",N397:N487)</f>
        <v>64109.558760000007</v>
      </c>
      <c r="O488" s="648"/>
      <c r="P488" s="648"/>
      <c r="R488" s="626"/>
      <c r="T488" s="633"/>
      <c r="U488" s="632"/>
    </row>
    <row r="489" spans="2:21" ht="19.149999999999999" customHeight="1">
      <c r="B489" s="704"/>
      <c r="C489" s="684"/>
      <c r="D489" s="705"/>
      <c r="E489" s="695" t="s">
        <v>209</v>
      </c>
      <c r="F489" s="687" t="s">
        <v>1895</v>
      </c>
      <c r="G489" s="706"/>
      <c r="H489" s="706"/>
      <c r="I489" s="723"/>
      <c r="J489" s="690"/>
      <c r="K489" s="693"/>
      <c r="L489" s="690"/>
      <c r="M489" s="690"/>
      <c r="N489" s="708"/>
      <c r="O489" s="648"/>
      <c r="P489" s="648"/>
      <c r="R489" s="626"/>
      <c r="T489" s="633"/>
      <c r="U489" s="632"/>
    </row>
    <row r="490" spans="2:21" ht="19.149999999999999" customHeight="1">
      <c r="B490" s="704"/>
      <c r="C490" s="684"/>
      <c r="D490" s="705"/>
      <c r="E490" s="695" t="s">
        <v>804</v>
      </c>
      <c r="F490" s="687" t="s">
        <v>1088</v>
      </c>
      <c r="G490" s="706"/>
      <c r="H490" s="706"/>
      <c r="I490" s="707"/>
      <c r="J490" s="690"/>
      <c r="K490" s="693"/>
      <c r="L490" s="690"/>
      <c r="M490" s="690"/>
      <c r="N490" s="708"/>
      <c r="O490" s="648"/>
      <c r="P490" s="648"/>
      <c r="R490" s="626"/>
      <c r="T490" s="633"/>
      <c r="U490" s="632"/>
    </row>
    <row r="491" spans="2:21" ht="19.149999999999999" customHeight="1">
      <c r="B491" s="606" t="s">
        <v>1088</v>
      </c>
      <c r="C491" s="655">
        <v>12</v>
      </c>
      <c r="D491" s="615">
        <v>550</v>
      </c>
      <c r="E491" s="608">
        <v>751000</v>
      </c>
      <c r="F491" s="609" t="s">
        <v>607</v>
      </c>
      <c r="G491" s="610"/>
      <c r="H491" s="610"/>
      <c r="I491" s="611" t="s">
        <v>44</v>
      </c>
      <c r="J491" s="616">
        <f>43-9</f>
        <v>34</v>
      </c>
      <c r="K491" s="613">
        <v>24</v>
      </c>
      <c r="L491" s="616">
        <v>24</v>
      </c>
      <c r="M491" s="616">
        <v>43</v>
      </c>
      <c r="N491" s="614">
        <v>41.862300000000005</v>
      </c>
      <c r="O491" s="648"/>
      <c r="P491" s="648"/>
      <c r="R491" s="626"/>
      <c r="T491" s="633"/>
      <c r="U491" s="634"/>
    </row>
    <row r="492" spans="2:21" ht="19.149999999999999" customHeight="1">
      <c r="B492" s="606" t="s">
        <v>1088</v>
      </c>
      <c r="C492" s="655">
        <v>9</v>
      </c>
      <c r="D492" s="615">
        <v>750</v>
      </c>
      <c r="E492" s="608">
        <v>751000</v>
      </c>
      <c r="F492" s="710" t="s">
        <v>1145</v>
      </c>
      <c r="G492" s="610"/>
      <c r="H492" s="610"/>
      <c r="I492" s="611" t="s">
        <v>175</v>
      </c>
      <c r="J492" s="616">
        <f>180-36</f>
        <v>144</v>
      </c>
      <c r="K492" s="613">
        <v>7</v>
      </c>
      <c r="L492" s="616">
        <v>7</v>
      </c>
      <c r="M492" s="616">
        <v>180</v>
      </c>
      <c r="N492" s="614">
        <v>139.28360000000001</v>
      </c>
      <c r="O492" s="648"/>
      <c r="P492" s="648"/>
      <c r="R492" s="626"/>
      <c r="T492" s="633"/>
      <c r="U492" s="634"/>
    </row>
    <row r="493" spans="2:21" ht="19.149999999999999" customHeight="1">
      <c r="B493" s="606" t="s">
        <v>1088</v>
      </c>
      <c r="C493" s="654">
        <v>82</v>
      </c>
      <c r="D493" s="607">
        <v>781</v>
      </c>
      <c r="E493" s="608">
        <v>751000</v>
      </c>
      <c r="F493" s="609" t="s">
        <v>1089</v>
      </c>
      <c r="G493" s="610"/>
      <c r="H493" s="610"/>
      <c r="I493" s="611" t="s">
        <v>44</v>
      </c>
      <c r="J493" s="616">
        <f>124</f>
        <v>124</v>
      </c>
      <c r="K493" s="613">
        <v>124</v>
      </c>
      <c r="L493" s="616">
        <v>124</v>
      </c>
      <c r="M493" s="616">
        <v>124</v>
      </c>
      <c r="N493" s="614">
        <v>123.95566000000001</v>
      </c>
      <c r="O493" s="648"/>
      <c r="P493" s="648"/>
      <c r="R493" s="626"/>
      <c r="T493" s="633"/>
      <c r="U493" s="634"/>
    </row>
    <row r="494" spans="2:21" ht="19.149999999999999" customHeight="1">
      <c r="B494" s="606" t="s">
        <v>1088</v>
      </c>
      <c r="C494" s="655">
        <v>82</v>
      </c>
      <c r="D494" s="615">
        <v>782</v>
      </c>
      <c r="E494" s="608">
        <v>751000</v>
      </c>
      <c r="F494" s="609" t="s">
        <v>2091</v>
      </c>
      <c r="G494" s="610"/>
      <c r="H494" s="610"/>
      <c r="I494" s="611" t="s">
        <v>44</v>
      </c>
      <c r="J494" s="616">
        <f>343</f>
        <v>343</v>
      </c>
      <c r="K494" s="613">
        <v>97</v>
      </c>
      <c r="L494" s="616">
        <v>97</v>
      </c>
      <c r="M494" s="616">
        <v>343</v>
      </c>
      <c r="N494" s="614">
        <v>313</v>
      </c>
      <c r="O494" s="648"/>
      <c r="P494" s="648"/>
      <c r="R494" s="626"/>
      <c r="T494" s="633"/>
      <c r="U494" s="634"/>
    </row>
    <row r="495" spans="2:21" ht="19.149999999999999" customHeight="1">
      <c r="B495" s="606" t="s">
        <v>1088</v>
      </c>
      <c r="C495" s="655">
        <v>5</v>
      </c>
      <c r="D495" s="615">
        <v>783</v>
      </c>
      <c r="E495" s="608">
        <v>751000</v>
      </c>
      <c r="F495" s="609" t="s">
        <v>748</v>
      </c>
      <c r="G495" s="610"/>
      <c r="H495" s="610"/>
      <c r="I495" s="611" t="s">
        <v>44</v>
      </c>
      <c r="J495" s="616">
        <f>382-76</f>
        <v>306</v>
      </c>
      <c r="K495" s="613">
        <v>100</v>
      </c>
      <c r="L495" s="616">
        <v>100</v>
      </c>
      <c r="M495" s="616">
        <v>382</v>
      </c>
      <c r="N495" s="614">
        <v>378.55458000000004</v>
      </c>
      <c r="O495" s="648"/>
      <c r="P495" s="648"/>
      <c r="R495" s="626"/>
      <c r="T495" s="633"/>
      <c r="U495" s="634"/>
    </row>
    <row r="496" spans="2:21" ht="19.149999999999999" customHeight="1">
      <c r="B496" s="606" t="s">
        <v>1088</v>
      </c>
      <c r="C496" s="655">
        <v>82</v>
      </c>
      <c r="D496" s="615">
        <v>785</v>
      </c>
      <c r="E496" s="608">
        <v>751000</v>
      </c>
      <c r="F496" s="609" t="s">
        <v>2095</v>
      </c>
      <c r="G496" s="610"/>
      <c r="H496" s="610"/>
      <c r="I496" s="611" t="s">
        <v>44</v>
      </c>
      <c r="J496" s="616">
        <f>170-34-136</f>
        <v>0</v>
      </c>
      <c r="K496" s="613">
        <v>0</v>
      </c>
      <c r="L496" s="616">
        <v>55</v>
      </c>
      <c r="M496" s="616">
        <v>170</v>
      </c>
      <c r="N496" s="614">
        <v>95.999200000000002</v>
      </c>
      <c r="O496" s="648"/>
      <c r="P496" s="648"/>
      <c r="R496" s="626"/>
      <c r="T496" s="633"/>
      <c r="U496" s="634"/>
    </row>
    <row r="497" spans="2:21" ht="19.149999999999999" customHeight="1">
      <c r="B497" s="617"/>
      <c r="C497" s="656"/>
      <c r="D497" s="618"/>
      <c r="E497" s="619" t="s">
        <v>804</v>
      </c>
      <c r="F497" s="620" t="s">
        <v>749</v>
      </c>
      <c r="G497" s="621">
        <f>SUM(G491:G496)</f>
        <v>0</v>
      </c>
      <c r="H497" s="621">
        <f>SUM(H491:H496)</f>
        <v>0</v>
      </c>
      <c r="I497" s="622"/>
      <c r="J497" s="623">
        <f>SUM(J491:J496)</f>
        <v>951</v>
      </c>
      <c r="K497" s="624">
        <f>SUM(K491:K496)</f>
        <v>352</v>
      </c>
      <c r="L497" s="623">
        <f>SUM(L491:L496)</f>
        <v>407</v>
      </c>
      <c r="M497" s="623">
        <f>SUM(M491:M496)</f>
        <v>1242</v>
      </c>
      <c r="N497" s="625">
        <f>SUM(N491:N496)</f>
        <v>1092.65534</v>
      </c>
      <c r="O497" s="648"/>
      <c r="P497" s="648"/>
      <c r="R497" s="626"/>
      <c r="T497" s="633"/>
      <c r="U497" s="632"/>
    </row>
    <row r="498" spans="2:21" ht="19.149999999999999" customHeight="1">
      <c r="B498" s="704"/>
      <c r="C498" s="684"/>
      <c r="D498" s="705"/>
      <c r="E498" s="695" t="s">
        <v>750</v>
      </c>
      <c r="F498" s="687" t="s">
        <v>816</v>
      </c>
      <c r="G498" s="706"/>
      <c r="H498" s="706"/>
      <c r="I498" s="707"/>
      <c r="J498" s="690"/>
      <c r="K498" s="693"/>
      <c r="L498" s="690"/>
      <c r="M498" s="690"/>
      <c r="N498" s="708"/>
      <c r="O498" s="648"/>
      <c r="P498" s="648"/>
      <c r="R498" s="626"/>
      <c r="T498" s="633"/>
      <c r="U498" s="632"/>
    </row>
    <row r="499" spans="2:21" ht="19.149999999999999" customHeight="1">
      <c r="B499" s="606" t="s">
        <v>816</v>
      </c>
      <c r="C499" s="654">
        <v>12</v>
      </c>
      <c r="D499" s="607">
        <v>550</v>
      </c>
      <c r="E499" s="608">
        <v>752000</v>
      </c>
      <c r="F499" s="609" t="s">
        <v>607</v>
      </c>
      <c r="G499" s="610"/>
      <c r="H499" s="610"/>
      <c r="I499" s="611" t="s">
        <v>44</v>
      </c>
      <c r="J499" s="616">
        <f>48-10</f>
        <v>38</v>
      </c>
      <c r="K499" s="613">
        <v>48</v>
      </c>
      <c r="L499" s="616">
        <v>48</v>
      </c>
      <c r="M499" s="616">
        <v>48</v>
      </c>
      <c r="N499" s="614">
        <v>16.779599999999999</v>
      </c>
      <c r="O499" s="648"/>
      <c r="P499" s="648"/>
      <c r="R499" s="626"/>
      <c r="T499" s="633"/>
      <c r="U499" s="634"/>
    </row>
    <row r="500" spans="2:21" ht="19.149999999999999" customHeight="1">
      <c r="B500" s="606" t="s">
        <v>816</v>
      </c>
      <c r="C500" s="655">
        <v>12</v>
      </c>
      <c r="D500" s="615">
        <v>780</v>
      </c>
      <c r="E500" s="608">
        <v>752000</v>
      </c>
      <c r="F500" s="609" t="s">
        <v>774</v>
      </c>
      <c r="G500" s="610"/>
      <c r="H500" s="610"/>
      <c r="I500" s="611" t="s">
        <v>44</v>
      </c>
      <c r="J500" s="616">
        <f>300-60</f>
        <v>240</v>
      </c>
      <c r="K500" s="613">
        <v>105</v>
      </c>
      <c r="L500" s="616">
        <v>180</v>
      </c>
      <c r="M500" s="616">
        <v>420</v>
      </c>
      <c r="N500" s="614">
        <v>391.06884000000002</v>
      </c>
      <c r="O500" s="648"/>
      <c r="P500" s="648"/>
      <c r="R500" s="626"/>
      <c r="T500" s="633"/>
      <c r="U500" s="634"/>
    </row>
    <row r="501" spans="2:21" ht="19.149999999999999" customHeight="1">
      <c r="B501" s="617"/>
      <c r="C501" s="656"/>
      <c r="D501" s="618"/>
      <c r="E501" s="619" t="s">
        <v>750</v>
      </c>
      <c r="F501" s="620" t="s">
        <v>775</v>
      </c>
      <c r="G501" s="621">
        <f>SUM(G499:G500)</f>
        <v>0</v>
      </c>
      <c r="H501" s="621">
        <f>SUM(H499:H500)</f>
        <v>0</v>
      </c>
      <c r="I501" s="622"/>
      <c r="J501" s="623">
        <f>SUM(J499:J500)</f>
        <v>278</v>
      </c>
      <c r="K501" s="624">
        <f>SUM(K499:K500)</f>
        <v>153</v>
      </c>
      <c r="L501" s="623">
        <f>SUM(L499:L500)</f>
        <v>228</v>
      </c>
      <c r="M501" s="623">
        <f>SUM(M499:M500)</f>
        <v>468</v>
      </c>
      <c r="N501" s="625">
        <f>SUM(N499:N500)</f>
        <v>407.84844000000004</v>
      </c>
      <c r="O501" s="648"/>
      <c r="P501" s="648"/>
      <c r="R501" s="626"/>
      <c r="T501" s="633"/>
      <c r="U501" s="632"/>
    </row>
    <row r="502" spans="2:21" ht="19.149999999999999" customHeight="1">
      <c r="B502" s="704"/>
      <c r="C502" s="684"/>
      <c r="D502" s="705"/>
      <c r="E502" s="695" t="s">
        <v>776</v>
      </c>
      <c r="F502" s="687" t="s">
        <v>865</v>
      </c>
      <c r="G502" s="706"/>
      <c r="H502" s="706"/>
      <c r="I502" s="707"/>
      <c r="J502" s="690"/>
      <c r="K502" s="693"/>
      <c r="L502" s="690"/>
      <c r="M502" s="690"/>
      <c r="N502" s="708"/>
      <c r="O502" s="648"/>
      <c r="P502" s="648"/>
      <c r="R502" s="626"/>
      <c r="T502" s="633"/>
      <c r="U502" s="632"/>
    </row>
    <row r="503" spans="2:21" ht="19.149999999999999" customHeight="1">
      <c r="B503" s="606" t="s">
        <v>865</v>
      </c>
      <c r="C503" s="654">
        <v>82</v>
      </c>
      <c r="D503" s="607">
        <v>781</v>
      </c>
      <c r="E503" s="608">
        <v>753000</v>
      </c>
      <c r="F503" s="724" t="s">
        <v>240</v>
      </c>
      <c r="G503" s="610"/>
      <c r="H503" s="610"/>
      <c r="I503" s="611" t="s">
        <v>175</v>
      </c>
      <c r="J503" s="616">
        <v>200</v>
      </c>
      <c r="K503" s="613">
        <v>145</v>
      </c>
      <c r="L503" s="616">
        <v>200</v>
      </c>
      <c r="M503" s="616">
        <v>200</v>
      </c>
      <c r="N503" s="614">
        <v>180</v>
      </c>
      <c r="O503" s="756"/>
      <c r="P503" s="648"/>
      <c r="R503" s="626"/>
      <c r="T503" s="633"/>
      <c r="U503" s="634"/>
    </row>
    <row r="504" spans="2:21" ht="19.149999999999999" customHeight="1">
      <c r="B504" s="606" t="s">
        <v>865</v>
      </c>
      <c r="C504" s="654">
        <v>82</v>
      </c>
      <c r="D504" s="607">
        <v>782</v>
      </c>
      <c r="E504" s="608">
        <v>753000</v>
      </c>
      <c r="F504" s="609" t="s">
        <v>850</v>
      </c>
      <c r="G504" s="610"/>
      <c r="H504" s="610"/>
      <c r="I504" s="611" t="s">
        <v>44</v>
      </c>
      <c r="J504" s="616">
        <v>19</v>
      </c>
      <c r="K504" s="613">
        <v>20</v>
      </c>
      <c r="L504" s="616">
        <v>20</v>
      </c>
      <c r="M504" s="616">
        <v>20</v>
      </c>
      <c r="N504" s="614">
        <v>19.935560000000002</v>
      </c>
      <c r="O504" s="648"/>
      <c r="P504" s="648"/>
      <c r="R504" s="626"/>
      <c r="T504" s="633"/>
      <c r="U504" s="634"/>
    </row>
    <row r="505" spans="2:21" ht="19.149999999999999" customHeight="1">
      <c r="B505" s="606" t="s">
        <v>865</v>
      </c>
      <c r="C505" s="654">
        <v>82</v>
      </c>
      <c r="D505" s="607">
        <v>783</v>
      </c>
      <c r="E505" s="608">
        <v>753000</v>
      </c>
      <c r="F505" s="609" t="s">
        <v>1808</v>
      </c>
      <c r="G505" s="610"/>
      <c r="H505" s="610"/>
      <c r="I505" s="611" t="s">
        <v>44</v>
      </c>
      <c r="J505" s="616">
        <v>33</v>
      </c>
      <c r="K505" s="613">
        <v>35</v>
      </c>
      <c r="L505" s="616">
        <v>35</v>
      </c>
      <c r="M505" s="616">
        <v>35</v>
      </c>
      <c r="N505" s="614">
        <v>32.018799999999999</v>
      </c>
      <c r="O505" s="648"/>
      <c r="P505" s="648"/>
      <c r="R505" s="626"/>
      <c r="T505" s="633"/>
      <c r="U505" s="634"/>
    </row>
    <row r="506" spans="2:21" ht="19.149999999999999" customHeight="1">
      <c r="B506" s="617"/>
      <c r="C506" s="656"/>
      <c r="D506" s="618"/>
      <c r="E506" s="619" t="s">
        <v>776</v>
      </c>
      <c r="F506" s="620" t="s">
        <v>241</v>
      </c>
      <c r="G506" s="621">
        <f>SUM(G504:G504)</f>
        <v>0</v>
      </c>
      <c r="H506" s="621">
        <f>SUM(H504:H504)</f>
        <v>0</v>
      </c>
      <c r="I506" s="622"/>
      <c r="J506" s="623">
        <f>SUM(J503:J505)</f>
        <v>252</v>
      </c>
      <c r="K506" s="624">
        <f>SUM(K503:K505)</f>
        <v>200</v>
      </c>
      <c r="L506" s="623">
        <f>SUM(L503:L505)</f>
        <v>255</v>
      </c>
      <c r="M506" s="623">
        <f>SUM(M503:M505)</f>
        <v>255</v>
      </c>
      <c r="N506" s="625">
        <f>SUM(N503:N505)</f>
        <v>231.95436000000001</v>
      </c>
      <c r="O506" s="648"/>
      <c r="P506" s="648"/>
      <c r="R506" s="626"/>
      <c r="T506" s="633"/>
      <c r="U506" s="632"/>
    </row>
    <row r="507" spans="2:21" ht="19.149999999999999" customHeight="1">
      <c r="B507" s="704"/>
      <c r="C507" s="684"/>
      <c r="D507" s="705"/>
      <c r="E507" s="695" t="s">
        <v>242</v>
      </c>
      <c r="F507" s="687" t="s">
        <v>243</v>
      </c>
      <c r="G507" s="706"/>
      <c r="H507" s="706"/>
      <c r="I507" s="707"/>
      <c r="J507" s="690"/>
      <c r="K507" s="693"/>
      <c r="L507" s="690"/>
      <c r="M507" s="690"/>
      <c r="N507" s="708"/>
      <c r="O507" s="648"/>
      <c r="P507" s="648"/>
      <c r="R507" s="626"/>
      <c r="T507" s="633"/>
      <c r="U507" s="632"/>
    </row>
    <row r="508" spans="2:21" ht="19.149999999999999" customHeight="1">
      <c r="B508" s="606" t="s">
        <v>243</v>
      </c>
      <c r="C508" s="654">
        <v>1</v>
      </c>
      <c r="D508" s="607">
        <v>100</v>
      </c>
      <c r="E508" s="608">
        <v>754000</v>
      </c>
      <c r="F508" s="710" t="s">
        <v>244</v>
      </c>
      <c r="G508" s="610">
        <v>0</v>
      </c>
      <c r="H508" s="610">
        <v>0</v>
      </c>
      <c r="I508" s="611" t="s">
        <v>669</v>
      </c>
      <c r="J508" s="616">
        <v>0</v>
      </c>
      <c r="K508" s="613">
        <v>0</v>
      </c>
      <c r="L508" s="616">
        <v>0</v>
      </c>
      <c r="M508" s="616">
        <v>0</v>
      </c>
      <c r="N508" s="614">
        <v>13.964879999999999</v>
      </c>
      <c r="O508" s="648"/>
      <c r="P508" s="648"/>
      <c r="R508" s="626"/>
      <c r="T508" s="633"/>
      <c r="U508" s="634"/>
    </row>
    <row r="509" spans="2:21" ht="19.149999999999999" customHeight="1">
      <c r="B509" s="606" t="s">
        <v>243</v>
      </c>
      <c r="C509" s="655">
        <v>1</v>
      </c>
      <c r="D509" s="615">
        <v>510</v>
      </c>
      <c r="E509" s="608">
        <v>754000</v>
      </c>
      <c r="F509" s="701" t="s">
        <v>565</v>
      </c>
      <c r="G509" s="610"/>
      <c r="H509" s="610"/>
      <c r="I509" s="611" t="s">
        <v>44</v>
      </c>
      <c r="J509" s="616">
        <v>45</v>
      </c>
      <c r="K509" s="613">
        <v>45</v>
      </c>
      <c r="L509" s="616">
        <v>45</v>
      </c>
      <c r="M509" s="616">
        <v>48</v>
      </c>
      <c r="N509" s="614">
        <v>30.485499999999998</v>
      </c>
      <c r="O509" s="648"/>
      <c r="P509" s="648"/>
      <c r="R509" s="626"/>
      <c r="T509" s="633"/>
      <c r="U509" s="634"/>
    </row>
    <row r="510" spans="2:21" ht="19.149999999999999" customHeight="1">
      <c r="B510" s="606" t="s">
        <v>243</v>
      </c>
      <c r="C510" s="654">
        <v>10</v>
      </c>
      <c r="D510" s="607">
        <v>540</v>
      </c>
      <c r="E510" s="608">
        <v>754000</v>
      </c>
      <c r="F510" s="609" t="s">
        <v>1648</v>
      </c>
      <c r="G510" s="610"/>
      <c r="H510" s="610"/>
      <c r="I510" s="611" t="s">
        <v>175</v>
      </c>
      <c r="J510" s="616">
        <v>1</v>
      </c>
      <c r="K510" s="613">
        <v>1</v>
      </c>
      <c r="L510" s="616">
        <v>2</v>
      </c>
      <c r="M510" s="616">
        <v>2</v>
      </c>
      <c r="N510" s="614">
        <v>0.30096000000000001</v>
      </c>
      <c r="O510" s="648"/>
      <c r="P510" s="648"/>
      <c r="R510" s="626"/>
      <c r="T510" s="633"/>
      <c r="U510" s="634"/>
    </row>
    <row r="511" spans="2:21" ht="19.149999999999999" customHeight="1">
      <c r="B511" s="617"/>
      <c r="C511" s="656"/>
      <c r="D511" s="618"/>
      <c r="E511" s="619" t="s">
        <v>242</v>
      </c>
      <c r="F511" s="620" t="s">
        <v>245</v>
      </c>
      <c r="G511" s="621">
        <f>SUM(G508:G509)</f>
        <v>0</v>
      </c>
      <c r="H511" s="621">
        <f>SUM(H508:H509)</f>
        <v>0</v>
      </c>
      <c r="I511" s="622"/>
      <c r="J511" s="623">
        <f>SUM(J508:J510)</f>
        <v>46</v>
      </c>
      <c r="K511" s="623">
        <f>SUM(K508:K510)</f>
        <v>46</v>
      </c>
      <c r="L511" s="623">
        <f>SUM(L508:L510)</f>
        <v>47</v>
      </c>
      <c r="M511" s="623">
        <f>SUM(M508:M510)</f>
        <v>50</v>
      </c>
      <c r="N511" s="625">
        <f>SUM(N508:N510)</f>
        <v>44.751339999999999</v>
      </c>
      <c r="O511" s="648"/>
      <c r="P511" s="648"/>
      <c r="R511" s="626"/>
      <c r="T511" s="633"/>
      <c r="U511" s="632"/>
    </row>
    <row r="512" spans="2:21" ht="14">
      <c r="B512" s="617"/>
      <c r="C512" s="656"/>
      <c r="D512" s="618"/>
      <c r="E512" s="619" t="s">
        <v>209</v>
      </c>
      <c r="F512" s="620" t="s">
        <v>1896</v>
      </c>
      <c r="G512" s="621">
        <f>SUMIF($E$489:$E$511,"*.",G489:G511)</f>
        <v>0</v>
      </c>
      <c r="H512" s="621">
        <f>SUMIF($E$489:$E$511,"*.",H489:H511)</f>
        <v>0</v>
      </c>
      <c r="I512" s="622"/>
      <c r="J512" s="623">
        <f>SUMIF($E$489:$E$511,"*.",J489:J511)</f>
        <v>1527</v>
      </c>
      <c r="K512" s="624">
        <f>SUMIF($E$489:$E$511,"*.",K489:K511)</f>
        <v>751</v>
      </c>
      <c r="L512" s="623">
        <f>SUMIF($E$489:$E$511,"*.",L489:L511)</f>
        <v>937</v>
      </c>
      <c r="M512" s="623">
        <f>SUMIF($E$489:$E$511,"*.",M489:M511)</f>
        <v>2015</v>
      </c>
      <c r="N512" s="625">
        <f>SUMIF($E$489:$E$511,"*.",N489:N511)</f>
        <v>1777.20948</v>
      </c>
      <c r="O512" s="648"/>
      <c r="P512" s="648"/>
      <c r="R512" s="626"/>
      <c r="T512" s="633"/>
      <c r="U512" s="632"/>
    </row>
    <row r="513" spans="2:21" ht="19.149999999999999" customHeight="1">
      <c r="B513" s="704"/>
      <c r="C513" s="684"/>
      <c r="D513" s="705"/>
      <c r="E513" s="695" t="s">
        <v>353</v>
      </c>
      <c r="F513" s="687" t="s">
        <v>354</v>
      </c>
      <c r="G513" s="706"/>
      <c r="H513" s="706"/>
      <c r="I513" s="723"/>
      <c r="J513" s="690"/>
      <c r="K513" s="693"/>
      <c r="L513" s="690"/>
      <c r="M513" s="690"/>
      <c r="N513" s="708"/>
      <c r="O513" s="648"/>
      <c r="P513" s="648"/>
      <c r="R513" s="626"/>
      <c r="T513" s="633"/>
      <c r="U513" s="632"/>
    </row>
    <row r="514" spans="2:21" ht="19.149999999999999" customHeight="1">
      <c r="B514" s="704"/>
      <c r="C514" s="684"/>
      <c r="D514" s="705"/>
      <c r="E514" s="695" t="s">
        <v>355</v>
      </c>
      <c r="F514" s="687" t="s">
        <v>356</v>
      </c>
      <c r="G514" s="706"/>
      <c r="H514" s="706"/>
      <c r="I514" s="707"/>
      <c r="J514" s="690"/>
      <c r="K514" s="693"/>
      <c r="L514" s="690"/>
      <c r="M514" s="690"/>
      <c r="N514" s="708"/>
      <c r="O514" s="648"/>
      <c r="P514" s="648"/>
      <c r="R514" s="626"/>
      <c r="T514" s="633"/>
      <c r="U514" s="632"/>
    </row>
    <row r="515" spans="2:21" ht="19.149999999999999" customHeight="1">
      <c r="B515" s="606" t="s">
        <v>356</v>
      </c>
      <c r="C515" s="654">
        <v>1</v>
      </c>
      <c r="D515" s="607">
        <v>100</v>
      </c>
      <c r="E515" s="608">
        <v>761000</v>
      </c>
      <c r="F515" s="609" t="s">
        <v>922</v>
      </c>
      <c r="G515" s="610">
        <v>12</v>
      </c>
      <c r="H515" s="610">
        <v>13.040016666666668</v>
      </c>
      <c r="I515" s="611" t="s">
        <v>669</v>
      </c>
      <c r="J515" s="616">
        <v>2400</v>
      </c>
      <c r="K515" s="613">
        <v>2210</v>
      </c>
      <c r="L515" s="616">
        <v>2247</v>
      </c>
      <c r="M515" s="616">
        <v>2157</v>
      </c>
      <c r="N515" s="614">
        <v>2053.7486599999997</v>
      </c>
      <c r="O515" s="648"/>
      <c r="P515" s="648"/>
      <c r="R515" s="626"/>
      <c r="T515" s="633"/>
      <c r="U515" s="634"/>
    </row>
    <row r="516" spans="2:21" ht="19.149999999999999" customHeight="1">
      <c r="B516" s="606" t="s">
        <v>356</v>
      </c>
      <c r="C516" s="654">
        <v>1</v>
      </c>
      <c r="D516" s="607">
        <v>101</v>
      </c>
      <c r="E516" s="608">
        <v>761000</v>
      </c>
      <c r="F516" s="609" t="s">
        <v>2069</v>
      </c>
      <c r="G516" s="610">
        <v>8</v>
      </c>
      <c r="H516" s="610">
        <v>10.015000000000001</v>
      </c>
      <c r="I516" s="611" t="s">
        <v>669</v>
      </c>
      <c r="J516" s="616">
        <v>1500</v>
      </c>
      <c r="K516" s="613">
        <v>1420</v>
      </c>
      <c r="L516" s="616">
        <v>1420</v>
      </c>
      <c r="M516" s="616">
        <v>1420</v>
      </c>
      <c r="N516" s="614">
        <v>1276.06087</v>
      </c>
      <c r="O516" s="648"/>
      <c r="P516" s="648"/>
      <c r="R516" s="626"/>
      <c r="T516" s="633"/>
      <c r="U516" s="634"/>
    </row>
    <row r="517" spans="2:21" ht="19.149999999999999" customHeight="1">
      <c r="B517" s="606" t="s">
        <v>356</v>
      </c>
      <c r="C517" s="654">
        <v>10</v>
      </c>
      <c r="D517" s="607">
        <v>540</v>
      </c>
      <c r="E517" s="608">
        <v>761000</v>
      </c>
      <c r="F517" s="609" t="s">
        <v>1648</v>
      </c>
      <c r="G517" s="610"/>
      <c r="H517" s="610"/>
      <c r="I517" s="611" t="s">
        <v>175</v>
      </c>
      <c r="J517" s="616">
        <v>12</v>
      </c>
      <c r="K517" s="613">
        <v>12</v>
      </c>
      <c r="L517" s="616">
        <v>15</v>
      </c>
      <c r="M517" s="616">
        <v>15</v>
      </c>
      <c r="N517" s="614">
        <v>9.1460100000000004</v>
      </c>
      <c r="O517" s="648"/>
      <c r="P517" s="648"/>
      <c r="R517" s="626"/>
      <c r="T517" s="633"/>
      <c r="U517" s="634"/>
    </row>
    <row r="518" spans="2:21" ht="19.149999999999999" customHeight="1">
      <c r="B518" s="606" t="s">
        <v>356</v>
      </c>
      <c r="C518" s="654">
        <v>10</v>
      </c>
      <c r="D518" s="607">
        <v>541</v>
      </c>
      <c r="E518" s="608">
        <v>761000</v>
      </c>
      <c r="F518" s="703" t="s">
        <v>2070</v>
      </c>
      <c r="G518" s="610"/>
      <c r="H518" s="610"/>
      <c r="I518" s="611" t="s">
        <v>175</v>
      </c>
      <c r="J518" s="616">
        <v>100</v>
      </c>
      <c r="K518" s="613">
        <v>75</v>
      </c>
      <c r="L518" s="616">
        <v>100</v>
      </c>
      <c r="M518" s="616">
        <v>100</v>
      </c>
      <c r="N518" s="614">
        <v>71.041399999999996</v>
      </c>
      <c r="O518" s="648"/>
      <c r="P518" s="648"/>
      <c r="R518" s="626"/>
      <c r="T518" s="633"/>
      <c r="U518" s="634"/>
    </row>
    <row r="519" spans="2:21" ht="19.149999999999999" customHeight="1">
      <c r="B519" s="606" t="s">
        <v>356</v>
      </c>
      <c r="C519" s="654">
        <v>1</v>
      </c>
      <c r="D519" s="607">
        <v>780</v>
      </c>
      <c r="E519" s="608">
        <v>761000</v>
      </c>
      <c r="F519" s="609" t="s">
        <v>146</v>
      </c>
      <c r="G519" s="610"/>
      <c r="H519" s="610"/>
      <c r="I519" s="611" t="s">
        <v>44</v>
      </c>
      <c r="J519" s="616">
        <v>100</v>
      </c>
      <c r="K519" s="613">
        <v>106</v>
      </c>
      <c r="L519" s="616">
        <v>106</v>
      </c>
      <c r="M519" s="616">
        <v>106</v>
      </c>
      <c r="N519" s="614">
        <v>43.841470000000001</v>
      </c>
      <c r="O519" s="648"/>
      <c r="P519" s="648"/>
      <c r="R519" s="626"/>
      <c r="T519" s="633"/>
      <c r="U519" s="634"/>
    </row>
    <row r="520" spans="2:21" ht="19.149999999999999" customHeight="1">
      <c r="B520" s="606" t="s">
        <v>356</v>
      </c>
      <c r="C520" s="654">
        <v>10</v>
      </c>
      <c r="D520" s="607">
        <v>781</v>
      </c>
      <c r="E520" s="608">
        <v>761000</v>
      </c>
      <c r="F520" s="609" t="s">
        <v>2071</v>
      </c>
      <c r="G520" s="610"/>
      <c r="H520" s="610"/>
      <c r="I520" s="611" t="s">
        <v>175</v>
      </c>
      <c r="J520" s="616">
        <v>0</v>
      </c>
      <c r="K520" s="613">
        <v>0</v>
      </c>
      <c r="L520" s="616">
        <v>5</v>
      </c>
      <c r="M520" s="616">
        <v>5</v>
      </c>
      <c r="N520" s="614">
        <v>0</v>
      </c>
      <c r="O520" s="648"/>
      <c r="P520" s="648"/>
      <c r="R520" s="626"/>
      <c r="T520" s="633"/>
      <c r="U520" s="634"/>
    </row>
    <row r="521" spans="2:21" ht="19.149999999999999" customHeight="1">
      <c r="B521" s="617"/>
      <c r="C521" s="656"/>
      <c r="D521" s="618"/>
      <c r="E521" s="619" t="s">
        <v>355</v>
      </c>
      <c r="F521" s="620" t="s">
        <v>2</v>
      </c>
      <c r="G521" s="621">
        <f>SUM(G515:G520)</f>
        <v>20</v>
      </c>
      <c r="H521" s="621">
        <f>SUM(H515:H520)</f>
        <v>23.055016666666667</v>
      </c>
      <c r="I521" s="622"/>
      <c r="J521" s="623">
        <f>SUM(J515:J520)</f>
        <v>4112</v>
      </c>
      <c r="K521" s="624">
        <f>SUM(K515:K520)</f>
        <v>3823</v>
      </c>
      <c r="L521" s="623">
        <f>SUM(L515:L520)</f>
        <v>3893</v>
      </c>
      <c r="M521" s="623">
        <f>SUM(M515:M520)</f>
        <v>3803</v>
      </c>
      <c r="N521" s="625">
        <f>SUM(N515:N520)</f>
        <v>3453.8384099999994</v>
      </c>
      <c r="O521" s="648"/>
      <c r="P521" s="648"/>
      <c r="R521" s="626"/>
      <c r="T521" s="633"/>
      <c r="U521" s="632"/>
    </row>
    <row r="522" spans="2:21" ht="19.149999999999999" customHeight="1">
      <c r="B522" s="704"/>
      <c r="C522" s="684"/>
      <c r="D522" s="705"/>
      <c r="E522" s="695" t="s">
        <v>3</v>
      </c>
      <c r="F522" s="687" t="s">
        <v>4</v>
      </c>
      <c r="G522" s="706"/>
      <c r="H522" s="706"/>
      <c r="I522" s="707"/>
      <c r="J522" s="690"/>
      <c r="K522" s="693"/>
      <c r="L522" s="690"/>
      <c r="M522" s="690"/>
      <c r="N522" s="708"/>
      <c r="O522" s="648"/>
      <c r="P522" s="648"/>
      <c r="R522" s="626"/>
      <c r="T522" s="633"/>
      <c r="U522" s="632"/>
    </row>
    <row r="523" spans="2:21" ht="19.149999999999999" customHeight="1">
      <c r="B523" s="606" t="s">
        <v>2086</v>
      </c>
      <c r="C523" s="654">
        <v>3</v>
      </c>
      <c r="D523" s="607">
        <v>750</v>
      </c>
      <c r="E523" s="608">
        <v>762100</v>
      </c>
      <c r="F523" s="609" t="s">
        <v>871</v>
      </c>
      <c r="G523" s="610"/>
      <c r="H523" s="610"/>
      <c r="I523" s="611" t="s">
        <v>175</v>
      </c>
      <c r="J523" s="616">
        <v>116</v>
      </c>
      <c r="K523" s="613">
        <v>46</v>
      </c>
      <c r="L523" s="616">
        <v>46</v>
      </c>
      <c r="M523" s="616">
        <v>116</v>
      </c>
      <c r="N523" s="614">
        <v>75.918000000000006</v>
      </c>
      <c r="O523" s="648"/>
      <c r="P523" s="648"/>
      <c r="R523" s="626"/>
      <c r="T523" s="633"/>
      <c r="U523" s="634"/>
    </row>
    <row r="524" spans="2:21" ht="19.149999999999999" customHeight="1">
      <c r="B524" s="617"/>
      <c r="C524" s="656"/>
      <c r="D524" s="618"/>
      <c r="E524" s="619" t="s">
        <v>3</v>
      </c>
      <c r="F524" s="620" t="s">
        <v>872</v>
      </c>
      <c r="G524" s="621">
        <f>SUM(G522:G523)</f>
        <v>0</v>
      </c>
      <c r="H524" s="621">
        <f>SUM(H522:H523)</f>
        <v>0</v>
      </c>
      <c r="I524" s="622"/>
      <c r="J524" s="623">
        <f>SUM(J522:J523)</f>
        <v>116</v>
      </c>
      <c r="K524" s="624">
        <f>SUM(K522:K523)</f>
        <v>46</v>
      </c>
      <c r="L524" s="623">
        <f>SUM(L522:L523)</f>
        <v>46</v>
      </c>
      <c r="M524" s="623">
        <f>SUM(M522:M523)</f>
        <v>116</v>
      </c>
      <c r="N524" s="625">
        <f>SUM(N522:N523)</f>
        <v>75.918000000000006</v>
      </c>
      <c r="O524" s="648"/>
      <c r="P524" s="648"/>
      <c r="R524" s="626"/>
      <c r="T524" s="633"/>
      <c r="U524" s="632"/>
    </row>
    <row r="525" spans="2:21" ht="19.149999999999999" customHeight="1">
      <c r="B525" s="704"/>
      <c r="C525" s="684"/>
      <c r="D525" s="705"/>
      <c r="E525" s="695" t="s">
        <v>236</v>
      </c>
      <c r="F525" s="687" t="s">
        <v>2100</v>
      </c>
      <c r="G525" s="706"/>
      <c r="H525" s="706"/>
      <c r="I525" s="707"/>
      <c r="J525" s="690"/>
      <c r="K525" s="693"/>
      <c r="L525" s="690"/>
      <c r="M525" s="690"/>
      <c r="N525" s="708"/>
      <c r="O525" s="648"/>
      <c r="P525" s="648"/>
      <c r="R525" s="626"/>
      <c r="T525" s="633"/>
      <c r="U525" s="632"/>
    </row>
    <row r="526" spans="2:21" ht="19.149999999999999" customHeight="1">
      <c r="B526" s="606" t="s">
        <v>2100</v>
      </c>
      <c r="C526" s="655">
        <v>3</v>
      </c>
      <c r="D526" s="615">
        <v>100</v>
      </c>
      <c r="E526" s="608">
        <v>764000</v>
      </c>
      <c r="F526" s="609" t="s">
        <v>848</v>
      </c>
      <c r="G526" s="610">
        <v>3.5</v>
      </c>
      <c r="H526" s="610">
        <v>3.166666666666667</v>
      </c>
      <c r="I526" s="611" t="s">
        <v>669</v>
      </c>
      <c r="J526" s="616">
        <v>620</v>
      </c>
      <c r="K526" s="613">
        <v>606</v>
      </c>
      <c r="L526" s="616">
        <v>623</v>
      </c>
      <c r="M526" s="616">
        <v>635</v>
      </c>
      <c r="N526" s="614">
        <v>483.15219999999999</v>
      </c>
      <c r="O526" s="648"/>
      <c r="P526" s="648"/>
      <c r="R526" s="626"/>
      <c r="T526" s="633"/>
      <c r="U526" s="634"/>
    </row>
    <row r="527" spans="2:21" ht="19.149999999999999" customHeight="1">
      <c r="B527" s="606" t="s">
        <v>2100</v>
      </c>
      <c r="C527" s="654">
        <v>3</v>
      </c>
      <c r="D527" s="607">
        <v>101</v>
      </c>
      <c r="E527" s="608">
        <v>764000</v>
      </c>
      <c r="F527" s="609" t="s">
        <v>2085</v>
      </c>
      <c r="G527" s="610">
        <v>3</v>
      </c>
      <c r="H527" s="610">
        <v>0.5</v>
      </c>
      <c r="I527" s="611" t="s">
        <v>669</v>
      </c>
      <c r="J527" s="616">
        <v>510</v>
      </c>
      <c r="K527" s="613">
        <v>289</v>
      </c>
      <c r="L527" s="616">
        <v>332</v>
      </c>
      <c r="M527" s="616">
        <v>0</v>
      </c>
      <c r="N527" s="614">
        <v>0</v>
      </c>
      <c r="O527" s="648"/>
      <c r="P527" s="648"/>
      <c r="R527" s="626"/>
      <c r="T527" s="633"/>
      <c r="U527" s="634"/>
    </row>
    <row r="528" spans="2:21" ht="19.149999999999999" customHeight="1">
      <c r="B528" s="606" t="s">
        <v>2100</v>
      </c>
      <c r="C528" s="654">
        <v>10</v>
      </c>
      <c r="D528" s="607">
        <v>540</v>
      </c>
      <c r="E528" s="608">
        <v>764000</v>
      </c>
      <c r="F528" s="609" t="s">
        <v>1648</v>
      </c>
      <c r="G528" s="610"/>
      <c r="H528" s="610"/>
      <c r="I528" s="611" t="s">
        <v>175</v>
      </c>
      <c r="J528" s="616">
        <v>2</v>
      </c>
      <c r="K528" s="613">
        <v>2</v>
      </c>
      <c r="L528" s="616">
        <v>3</v>
      </c>
      <c r="M528" s="616">
        <v>3</v>
      </c>
      <c r="N528" s="614">
        <v>1.3092999999999999</v>
      </c>
      <c r="O528" s="648"/>
      <c r="P528" s="648"/>
      <c r="R528" s="626"/>
      <c r="T528" s="633"/>
      <c r="U528" s="634"/>
    </row>
    <row r="529" spans="2:26" ht="19.149999999999999" customHeight="1">
      <c r="B529" s="606" t="s">
        <v>2100</v>
      </c>
      <c r="C529" s="654">
        <v>12</v>
      </c>
      <c r="D529" s="607">
        <v>550</v>
      </c>
      <c r="E529" s="608">
        <v>764000</v>
      </c>
      <c r="F529" s="609" t="s">
        <v>454</v>
      </c>
      <c r="G529" s="610"/>
      <c r="H529" s="610"/>
      <c r="I529" s="611" t="s">
        <v>44</v>
      </c>
      <c r="J529" s="616">
        <v>5</v>
      </c>
      <c r="K529" s="613">
        <v>0</v>
      </c>
      <c r="L529" s="616">
        <v>5</v>
      </c>
      <c r="M529" s="616">
        <v>5</v>
      </c>
      <c r="N529" s="614">
        <v>0</v>
      </c>
      <c r="O529" s="648"/>
      <c r="P529" s="648"/>
      <c r="R529" s="626"/>
      <c r="T529" s="633"/>
      <c r="U529" s="634"/>
    </row>
    <row r="530" spans="2:26" ht="19.149999999999999" customHeight="1">
      <c r="B530" s="606" t="s">
        <v>2100</v>
      </c>
      <c r="C530" s="654">
        <v>3</v>
      </c>
      <c r="D530" s="607">
        <v>750</v>
      </c>
      <c r="E530" s="608">
        <v>764000</v>
      </c>
      <c r="F530" s="609" t="s">
        <v>942</v>
      </c>
      <c r="G530" s="610"/>
      <c r="H530" s="610"/>
      <c r="I530" s="611" t="s">
        <v>175</v>
      </c>
      <c r="J530" s="616">
        <v>15</v>
      </c>
      <c r="K530" s="613">
        <v>14</v>
      </c>
      <c r="L530" s="616">
        <v>15</v>
      </c>
      <c r="M530" s="616">
        <v>15</v>
      </c>
      <c r="N530" s="614">
        <v>13.548</v>
      </c>
      <c r="O530" s="648"/>
      <c r="P530" s="648"/>
      <c r="R530" s="626"/>
      <c r="T530" s="633"/>
      <c r="U530" s="634"/>
    </row>
    <row r="531" spans="2:26" ht="19.149999999999999" customHeight="1">
      <c r="B531" s="606" t="s">
        <v>2100</v>
      </c>
      <c r="C531" s="654">
        <v>3</v>
      </c>
      <c r="D531" s="607">
        <v>755</v>
      </c>
      <c r="E531" s="608">
        <v>764000</v>
      </c>
      <c r="F531" s="609" t="s">
        <v>616</v>
      </c>
      <c r="G531" s="610"/>
      <c r="H531" s="610"/>
      <c r="I531" s="611" t="s">
        <v>44</v>
      </c>
      <c r="J531" s="616">
        <v>0</v>
      </c>
      <c r="K531" s="613">
        <v>0</v>
      </c>
      <c r="L531" s="616">
        <v>0</v>
      </c>
      <c r="M531" s="616">
        <v>0</v>
      </c>
      <c r="N531" s="614">
        <v>44.41236</v>
      </c>
      <c r="O531" s="648"/>
      <c r="P531" s="648"/>
      <c r="R531" s="626"/>
      <c r="T531" s="633"/>
      <c r="U531" s="634"/>
    </row>
    <row r="532" spans="2:26" ht="19.149999999999999" customHeight="1">
      <c r="B532" s="606" t="s">
        <v>2100</v>
      </c>
      <c r="C532" s="654">
        <v>3</v>
      </c>
      <c r="D532" s="607">
        <v>780</v>
      </c>
      <c r="E532" s="608">
        <v>764000</v>
      </c>
      <c r="F532" s="609" t="s">
        <v>237</v>
      </c>
      <c r="G532" s="610"/>
      <c r="H532" s="610"/>
      <c r="I532" s="611" t="s">
        <v>44</v>
      </c>
      <c r="J532" s="616">
        <v>25</v>
      </c>
      <c r="K532" s="613">
        <v>15</v>
      </c>
      <c r="L532" s="616">
        <v>25</v>
      </c>
      <c r="M532" s="616">
        <v>10</v>
      </c>
      <c r="N532" s="614">
        <v>2.9713400000000001</v>
      </c>
      <c r="O532" s="648"/>
      <c r="P532" s="648"/>
      <c r="R532" s="626"/>
      <c r="T532" s="633"/>
      <c r="U532" s="634"/>
    </row>
    <row r="533" spans="2:26" ht="19.149999999999999" customHeight="1">
      <c r="B533" s="606" t="s">
        <v>2100</v>
      </c>
      <c r="C533" s="654">
        <v>3</v>
      </c>
      <c r="D533" s="607">
        <v>781</v>
      </c>
      <c r="E533" s="608">
        <v>764000</v>
      </c>
      <c r="F533" s="609" t="s">
        <v>1807</v>
      </c>
      <c r="G533" s="610"/>
      <c r="H533" s="610"/>
      <c r="I533" s="611" t="s">
        <v>44</v>
      </c>
      <c r="J533" s="616">
        <v>100</v>
      </c>
      <c r="K533" s="613">
        <v>100</v>
      </c>
      <c r="L533" s="616">
        <v>100</v>
      </c>
      <c r="M533" s="616">
        <v>100</v>
      </c>
      <c r="N533" s="614">
        <v>242.14152999999999</v>
      </c>
      <c r="O533" s="648"/>
      <c r="P533" s="648"/>
      <c r="R533" s="626"/>
      <c r="T533" s="633"/>
      <c r="U533" s="634"/>
    </row>
    <row r="534" spans="2:26" ht="19.149999999999999" customHeight="1">
      <c r="B534" s="617"/>
      <c r="C534" s="656"/>
      <c r="D534" s="618"/>
      <c r="E534" s="619" t="s">
        <v>236</v>
      </c>
      <c r="F534" s="620" t="s">
        <v>2101</v>
      </c>
      <c r="G534" s="621">
        <f>SUM(G526:G533)</f>
        <v>6.5</v>
      </c>
      <c r="H534" s="621">
        <f>SUM(H526:H533)</f>
        <v>3.666666666666667</v>
      </c>
      <c r="I534" s="622"/>
      <c r="J534" s="623">
        <f>SUM(J525:J533)</f>
        <v>1277</v>
      </c>
      <c r="K534" s="624">
        <f>SUM(K525:K533)</f>
        <v>1026</v>
      </c>
      <c r="L534" s="623">
        <f>SUM(L526:L533)</f>
        <v>1103</v>
      </c>
      <c r="M534" s="623">
        <f>SUM(M526:M533)</f>
        <v>768</v>
      </c>
      <c r="N534" s="625">
        <f>SUM(N525:N533)</f>
        <v>787.53473000000008</v>
      </c>
      <c r="O534" s="648"/>
      <c r="P534" s="648"/>
      <c r="R534" s="626"/>
      <c r="T534" s="633"/>
      <c r="U534" s="632"/>
    </row>
    <row r="535" spans="2:26" ht="19.149999999999999" customHeight="1">
      <c r="B535" s="704"/>
      <c r="C535" s="684"/>
      <c r="D535" s="705"/>
      <c r="E535" s="695" t="s">
        <v>238</v>
      </c>
      <c r="F535" s="687" t="s">
        <v>212</v>
      </c>
      <c r="G535" s="706"/>
      <c r="H535" s="706"/>
      <c r="I535" s="707"/>
      <c r="J535" s="690"/>
      <c r="K535" s="693"/>
      <c r="L535" s="690"/>
      <c r="M535" s="690"/>
      <c r="N535" s="708"/>
      <c r="O535" s="648"/>
      <c r="P535" s="648"/>
      <c r="R535" s="626"/>
      <c r="T535" s="633"/>
      <c r="U535" s="632"/>
    </row>
    <row r="536" spans="2:26" ht="19.149999999999999" customHeight="1">
      <c r="B536" s="606" t="s">
        <v>212</v>
      </c>
      <c r="C536" s="654">
        <v>7</v>
      </c>
      <c r="D536" s="607">
        <v>811</v>
      </c>
      <c r="E536" s="608">
        <v>765000</v>
      </c>
      <c r="F536" s="609" t="s">
        <v>213</v>
      </c>
      <c r="G536" s="610"/>
      <c r="H536" s="610"/>
      <c r="I536" s="611" t="s">
        <v>175</v>
      </c>
      <c r="J536" s="616">
        <v>320</v>
      </c>
      <c r="K536" s="613">
        <v>305</v>
      </c>
      <c r="L536" s="616">
        <v>320</v>
      </c>
      <c r="M536" s="616">
        <v>320</v>
      </c>
      <c r="N536" s="614">
        <v>303.5</v>
      </c>
      <c r="O536" s="648"/>
      <c r="P536" s="648"/>
      <c r="R536" s="626"/>
      <c r="T536" s="633"/>
      <c r="U536" s="634"/>
      <c r="Z536" s="216"/>
    </row>
    <row r="537" spans="2:26" ht="19.149999999999999" customHeight="1">
      <c r="B537" s="606" t="s">
        <v>212</v>
      </c>
      <c r="C537" s="654">
        <v>7</v>
      </c>
      <c r="D537" s="607">
        <v>812</v>
      </c>
      <c r="E537" s="608">
        <v>765000</v>
      </c>
      <c r="F537" s="609" t="s">
        <v>783</v>
      </c>
      <c r="G537" s="610"/>
      <c r="H537" s="610"/>
      <c r="I537" s="611" t="s">
        <v>175</v>
      </c>
      <c r="J537" s="616">
        <f>51*1.3+2-0.3-1</f>
        <v>67</v>
      </c>
      <c r="K537" s="613">
        <v>51</v>
      </c>
      <c r="L537" s="616">
        <v>68</v>
      </c>
      <c r="M537" s="616">
        <v>68</v>
      </c>
      <c r="N537" s="614">
        <v>39.158000000000001</v>
      </c>
      <c r="O537" s="648"/>
      <c r="P537" s="648"/>
      <c r="R537" s="626"/>
      <c r="T537" s="633"/>
      <c r="U537" s="634"/>
      <c r="Z537" s="216"/>
    </row>
    <row r="538" spans="2:26" ht="19.149999999999999" customHeight="1">
      <c r="B538" s="606" t="s">
        <v>212</v>
      </c>
      <c r="C538" s="655">
        <v>7</v>
      </c>
      <c r="D538" s="615">
        <v>820</v>
      </c>
      <c r="E538" s="608">
        <v>765000</v>
      </c>
      <c r="F538" s="609" t="s">
        <v>1598</v>
      </c>
      <c r="G538" s="610"/>
      <c r="H538" s="610"/>
      <c r="I538" s="611" t="s">
        <v>175</v>
      </c>
      <c r="J538" s="616">
        <v>128</v>
      </c>
      <c r="K538" s="613">
        <v>128</v>
      </c>
      <c r="L538" s="616">
        <v>128</v>
      </c>
      <c r="M538" s="616">
        <v>150</v>
      </c>
      <c r="N538" s="614">
        <v>92.994</v>
      </c>
      <c r="O538" s="648"/>
      <c r="P538" s="648"/>
      <c r="R538" s="626"/>
      <c r="T538" s="633"/>
      <c r="U538" s="634"/>
      <c r="Z538" s="216"/>
    </row>
    <row r="539" spans="2:26" ht="19.149999999999999" customHeight="1">
      <c r="B539" s="606" t="s">
        <v>212</v>
      </c>
      <c r="C539" s="655">
        <v>7</v>
      </c>
      <c r="D539" s="615">
        <v>822</v>
      </c>
      <c r="E539" s="608">
        <v>765000</v>
      </c>
      <c r="F539" s="609" t="s">
        <v>1816</v>
      </c>
      <c r="G539" s="610"/>
      <c r="H539" s="610"/>
      <c r="I539" s="611" t="s">
        <v>175</v>
      </c>
      <c r="J539" s="616">
        <v>111</v>
      </c>
      <c r="K539" s="613">
        <v>111</v>
      </c>
      <c r="L539" s="616">
        <v>111</v>
      </c>
      <c r="M539" s="616">
        <v>130</v>
      </c>
      <c r="N539" s="614">
        <v>127.423</v>
      </c>
      <c r="O539" s="648"/>
      <c r="P539" s="648"/>
      <c r="R539" s="626"/>
      <c r="T539" s="633"/>
      <c r="U539" s="634"/>
      <c r="Z539" s="216"/>
    </row>
    <row r="540" spans="2:26" ht="19.149999999999999" customHeight="1">
      <c r="B540" s="606" t="s">
        <v>212</v>
      </c>
      <c r="C540" s="655">
        <v>7</v>
      </c>
      <c r="D540" s="615">
        <v>823</v>
      </c>
      <c r="E540" s="608">
        <v>765000</v>
      </c>
      <c r="F540" s="609" t="s">
        <v>1886</v>
      </c>
      <c r="G540" s="610"/>
      <c r="H540" s="610"/>
      <c r="I540" s="611" t="s">
        <v>175</v>
      </c>
      <c r="J540" s="616">
        <v>387</v>
      </c>
      <c r="K540" s="613">
        <v>387</v>
      </c>
      <c r="L540" s="616">
        <v>387</v>
      </c>
      <c r="M540" s="616">
        <v>455</v>
      </c>
      <c r="N540" s="614">
        <v>432.15300000000002</v>
      </c>
      <c r="O540" s="648"/>
      <c r="P540" s="648"/>
      <c r="R540" s="626"/>
      <c r="T540" s="633"/>
      <c r="U540" s="634"/>
      <c r="Z540" s="216"/>
    </row>
    <row r="541" spans="2:26" ht="19.149999999999999" customHeight="1">
      <c r="B541" s="606" t="s">
        <v>212</v>
      </c>
      <c r="C541" s="655">
        <v>7</v>
      </c>
      <c r="D541" s="615">
        <v>825</v>
      </c>
      <c r="E541" s="608">
        <v>765000</v>
      </c>
      <c r="F541" s="609" t="s">
        <v>1817</v>
      </c>
      <c r="G541" s="610"/>
      <c r="H541" s="610"/>
      <c r="I541" s="611" t="s">
        <v>175</v>
      </c>
      <c r="J541" s="616">
        <v>22</v>
      </c>
      <c r="K541" s="613">
        <v>22</v>
      </c>
      <c r="L541" s="616">
        <v>22</v>
      </c>
      <c r="M541" s="616">
        <v>25</v>
      </c>
      <c r="N541" s="614">
        <v>25</v>
      </c>
      <c r="O541" s="648"/>
      <c r="P541" s="648"/>
      <c r="R541" s="626"/>
      <c r="T541" s="633"/>
      <c r="U541" s="634"/>
      <c r="Z541" s="216"/>
    </row>
    <row r="542" spans="2:26" ht="19.149999999999999" customHeight="1">
      <c r="B542" s="617"/>
      <c r="C542" s="656"/>
      <c r="D542" s="618"/>
      <c r="E542" s="619" t="s">
        <v>238</v>
      </c>
      <c r="F542" s="620" t="s">
        <v>155</v>
      </c>
      <c r="G542" s="621">
        <f>SUM(G536:G541)</f>
        <v>0</v>
      </c>
      <c r="H542" s="621">
        <f>SUM(H536:H541)</f>
        <v>0</v>
      </c>
      <c r="I542" s="622"/>
      <c r="J542" s="623">
        <f>SUM(J536:J541)</f>
        <v>1035</v>
      </c>
      <c r="K542" s="624">
        <f>SUM(K536:K541)</f>
        <v>1004</v>
      </c>
      <c r="L542" s="623">
        <f>SUM(L536:L541)</f>
        <v>1036</v>
      </c>
      <c r="M542" s="623">
        <f>SUM(M536:M541)</f>
        <v>1148</v>
      </c>
      <c r="N542" s="625">
        <f>SUM(N536:N541)</f>
        <v>1020.2280000000001</v>
      </c>
      <c r="O542" s="648"/>
      <c r="P542" s="648"/>
      <c r="R542" s="626"/>
      <c r="T542" s="633"/>
      <c r="U542" s="632"/>
    </row>
    <row r="543" spans="2:26" ht="19.149999999999999" customHeight="1">
      <c r="B543" s="704"/>
      <c r="C543" s="684"/>
      <c r="D543" s="705"/>
      <c r="E543" s="695" t="s">
        <v>156</v>
      </c>
      <c r="F543" s="687" t="s">
        <v>719</v>
      </c>
      <c r="G543" s="706"/>
      <c r="H543" s="706"/>
      <c r="I543" s="707"/>
      <c r="J543" s="690"/>
      <c r="K543" s="693"/>
      <c r="L543" s="690"/>
      <c r="M543" s="690"/>
      <c r="N543" s="708"/>
      <c r="O543" s="648"/>
      <c r="P543" s="648"/>
      <c r="R543" s="626"/>
      <c r="T543" s="633"/>
      <c r="U543" s="632"/>
    </row>
    <row r="544" spans="2:26" ht="19.149999999999999" customHeight="1">
      <c r="B544" s="606" t="s">
        <v>719</v>
      </c>
      <c r="C544" s="654">
        <v>1</v>
      </c>
      <c r="D544" s="607">
        <v>100</v>
      </c>
      <c r="E544" s="608">
        <v>766000</v>
      </c>
      <c r="F544" s="609" t="s">
        <v>1058</v>
      </c>
      <c r="G544" s="610">
        <v>2</v>
      </c>
      <c r="H544" s="610">
        <v>2</v>
      </c>
      <c r="I544" s="611" t="s">
        <v>669</v>
      </c>
      <c r="J544" s="616">
        <v>320</v>
      </c>
      <c r="K544" s="613">
        <v>310</v>
      </c>
      <c r="L544" s="616">
        <v>339</v>
      </c>
      <c r="M544" s="616">
        <v>189</v>
      </c>
      <c r="N544" s="614">
        <v>275.11563000000001</v>
      </c>
      <c r="O544" s="648"/>
      <c r="P544" s="648"/>
      <c r="R544" s="626"/>
      <c r="T544" s="633"/>
      <c r="U544" s="634"/>
    </row>
    <row r="545" spans="2:21" ht="19.149999999999999" customHeight="1">
      <c r="B545" s="606" t="s">
        <v>719</v>
      </c>
      <c r="C545" s="654">
        <v>1</v>
      </c>
      <c r="D545" s="607">
        <v>560</v>
      </c>
      <c r="E545" s="608">
        <v>766000</v>
      </c>
      <c r="F545" s="609" t="s">
        <v>566</v>
      </c>
      <c r="G545" s="610"/>
      <c r="H545" s="610"/>
      <c r="I545" s="611" t="s">
        <v>44</v>
      </c>
      <c r="J545" s="616">
        <v>19</v>
      </c>
      <c r="K545" s="613">
        <v>20</v>
      </c>
      <c r="L545" s="616">
        <v>20</v>
      </c>
      <c r="M545" s="616">
        <v>20</v>
      </c>
      <c r="N545" s="614">
        <v>16.183669999999999</v>
      </c>
      <c r="O545" s="648"/>
      <c r="P545" s="648"/>
      <c r="R545" s="626"/>
      <c r="T545" s="633"/>
      <c r="U545" s="634"/>
    </row>
    <row r="546" spans="2:21" ht="19.149999999999999" customHeight="1">
      <c r="B546" s="606" t="s">
        <v>719</v>
      </c>
      <c r="C546" s="654">
        <v>1</v>
      </c>
      <c r="D546" s="607">
        <v>810</v>
      </c>
      <c r="E546" s="608">
        <v>766000</v>
      </c>
      <c r="F546" s="609" t="s">
        <v>415</v>
      </c>
      <c r="G546" s="610"/>
      <c r="H546" s="610"/>
      <c r="I546" s="611" t="s">
        <v>175</v>
      </c>
      <c r="J546" s="616">
        <v>2800</v>
      </c>
      <c r="K546" s="613">
        <v>2640</v>
      </c>
      <c r="L546" s="616">
        <v>2550</v>
      </c>
      <c r="M546" s="616">
        <v>2550</v>
      </c>
      <c r="N546" s="614">
        <v>2541.6799100000003</v>
      </c>
      <c r="O546" s="648"/>
      <c r="P546" s="648"/>
      <c r="R546" s="626"/>
      <c r="T546" s="633"/>
      <c r="U546" s="634"/>
    </row>
    <row r="547" spans="2:21" ht="19.149999999999999" customHeight="1">
      <c r="B547" s="606" t="s">
        <v>719</v>
      </c>
      <c r="C547" s="654">
        <v>81</v>
      </c>
      <c r="D547" s="607">
        <v>811</v>
      </c>
      <c r="E547" s="608">
        <v>766000</v>
      </c>
      <c r="F547" s="609" t="s">
        <v>1030</v>
      </c>
      <c r="G547" s="610"/>
      <c r="H547" s="610"/>
      <c r="I547" s="611" t="s">
        <v>175</v>
      </c>
      <c r="J547" s="616">
        <v>300</v>
      </c>
      <c r="K547" s="613">
        <v>300</v>
      </c>
      <c r="L547" s="616">
        <v>300</v>
      </c>
      <c r="M547" s="616">
        <v>300</v>
      </c>
      <c r="N547" s="614">
        <v>267.70600000000002</v>
      </c>
      <c r="O547" s="648"/>
      <c r="P547" s="648"/>
      <c r="R547" s="626"/>
      <c r="T547" s="633"/>
      <c r="U547" s="634"/>
    </row>
    <row r="548" spans="2:21" ht="19.149999999999999" customHeight="1">
      <c r="B548" s="606" t="s">
        <v>719</v>
      </c>
      <c r="C548" s="654">
        <v>1</v>
      </c>
      <c r="D548" s="607">
        <v>812</v>
      </c>
      <c r="E548" s="608">
        <v>766000</v>
      </c>
      <c r="F548" s="609" t="s">
        <v>1134</v>
      </c>
      <c r="G548" s="610"/>
      <c r="H548" s="610"/>
      <c r="I548" s="611" t="s">
        <v>175</v>
      </c>
      <c r="J548" s="616">
        <v>1270</v>
      </c>
      <c r="K548" s="613">
        <v>1180</v>
      </c>
      <c r="L548" s="616">
        <v>1270</v>
      </c>
      <c r="M548" s="616">
        <v>1270</v>
      </c>
      <c r="N548" s="614">
        <v>1178.5005700000002</v>
      </c>
      <c r="O548" s="648"/>
      <c r="P548" s="648"/>
      <c r="R548" s="626"/>
      <c r="T548" s="633"/>
      <c r="U548" s="634"/>
    </row>
    <row r="549" spans="2:21" ht="19.149999999999999" customHeight="1">
      <c r="B549" s="617"/>
      <c r="C549" s="656"/>
      <c r="D549" s="618"/>
      <c r="E549" s="619" t="s">
        <v>156</v>
      </c>
      <c r="F549" s="620" t="s">
        <v>546</v>
      </c>
      <c r="G549" s="621">
        <f>SUM(G544:G548)</f>
        <v>2</v>
      </c>
      <c r="H549" s="621">
        <f>SUM(H544:H548)</f>
        <v>2</v>
      </c>
      <c r="I549" s="622"/>
      <c r="J549" s="623">
        <f>SUM(J544:J548)</f>
        <v>4709</v>
      </c>
      <c r="K549" s="624">
        <f>SUM(K544:K548)</f>
        <v>4450</v>
      </c>
      <c r="L549" s="623">
        <f>SUM(L544:L548)</f>
        <v>4479</v>
      </c>
      <c r="M549" s="623">
        <f>SUM(M544:M548)</f>
        <v>4329</v>
      </c>
      <c r="N549" s="625">
        <f>SUM(N544:N548)</f>
        <v>4279.1857800000007</v>
      </c>
      <c r="O549" s="648"/>
      <c r="P549" s="648"/>
      <c r="R549" s="626"/>
      <c r="T549" s="633"/>
      <c r="U549" s="632"/>
    </row>
    <row r="550" spans="2:21" ht="14">
      <c r="B550" s="704"/>
      <c r="C550" s="684"/>
      <c r="D550" s="705"/>
      <c r="E550" s="695" t="s">
        <v>547</v>
      </c>
      <c r="F550" s="687" t="s">
        <v>206</v>
      </c>
      <c r="G550" s="706"/>
      <c r="H550" s="706"/>
      <c r="I550" s="707"/>
      <c r="J550" s="690"/>
      <c r="K550" s="693"/>
      <c r="L550" s="690"/>
      <c r="M550" s="690"/>
      <c r="N550" s="708"/>
      <c r="O550" s="648"/>
      <c r="P550" s="648"/>
      <c r="R550" s="626"/>
      <c r="T550" s="633"/>
      <c r="U550" s="632"/>
    </row>
    <row r="551" spans="2:21" ht="19.149999999999999" customHeight="1">
      <c r="B551" s="606" t="s">
        <v>206</v>
      </c>
      <c r="C551" s="654">
        <v>2</v>
      </c>
      <c r="D551" s="607">
        <v>440</v>
      </c>
      <c r="E551" s="608">
        <v>767000</v>
      </c>
      <c r="F551" s="609" t="s">
        <v>207</v>
      </c>
      <c r="G551" s="610"/>
      <c r="H551" s="610"/>
      <c r="I551" s="611" t="s">
        <v>175</v>
      </c>
      <c r="J551" s="616">
        <v>1700</v>
      </c>
      <c r="K551" s="613">
        <v>1650</v>
      </c>
      <c r="L551" s="616">
        <v>1565</v>
      </c>
      <c r="M551" s="616">
        <v>1565</v>
      </c>
      <c r="N551" s="614">
        <v>1581.615</v>
      </c>
      <c r="O551" s="648"/>
      <c r="P551" s="648"/>
      <c r="R551" s="626"/>
      <c r="T551" s="633"/>
      <c r="U551" s="634"/>
    </row>
    <row r="552" spans="2:21" ht="28">
      <c r="B552" s="606" t="s">
        <v>206</v>
      </c>
      <c r="C552" s="654">
        <v>2</v>
      </c>
      <c r="D552" s="607">
        <v>442</v>
      </c>
      <c r="E552" s="608">
        <v>767000</v>
      </c>
      <c r="F552" s="609" t="s">
        <v>1419</v>
      </c>
      <c r="G552" s="610"/>
      <c r="H552" s="610"/>
      <c r="I552" s="611" t="s">
        <v>175</v>
      </c>
      <c r="J552" s="616">
        <v>2000</v>
      </c>
      <c r="K552" s="613">
        <v>2000</v>
      </c>
      <c r="L552" s="616">
        <v>2000</v>
      </c>
      <c r="M552" s="616">
        <v>2000</v>
      </c>
      <c r="N552" s="614">
        <v>1997.2184999999999</v>
      </c>
      <c r="O552" s="648"/>
      <c r="P552" s="648"/>
      <c r="R552" s="626"/>
      <c r="T552" s="633"/>
      <c r="U552" s="634"/>
    </row>
    <row r="553" spans="2:21" ht="19.149999999999999" customHeight="1">
      <c r="B553" s="606" t="s">
        <v>206</v>
      </c>
      <c r="C553" s="654">
        <v>2</v>
      </c>
      <c r="D553" s="607">
        <v>444</v>
      </c>
      <c r="E553" s="608">
        <v>767000</v>
      </c>
      <c r="F553" s="609" t="s">
        <v>208</v>
      </c>
      <c r="G553" s="610"/>
      <c r="H553" s="610"/>
      <c r="I553" s="611" t="s">
        <v>175</v>
      </c>
      <c r="J553" s="616">
        <v>3270</v>
      </c>
      <c r="K553" s="613">
        <v>3270</v>
      </c>
      <c r="L553" s="616">
        <v>3270</v>
      </c>
      <c r="M553" s="616">
        <v>3270</v>
      </c>
      <c r="N553" s="614">
        <v>3270</v>
      </c>
      <c r="O553" s="648"/>
      <c r="P553" s="648"/>
      <c r="R553" s="626"/>
      <c r="T553" s="633"/>
      <c r="U553" s="634"/>
    </row>
    <row r="554" spans="2:21" ht="19.149999999999999" customHeight="1">
      <c r="B554" s="606" t="s">
        <v>206</v>
      </c>
      <c r="C554" s="654">
        <v>2</v>
      </c>
      <c r="D554" s="607">
        <v>445</v>
      </c>
      <c r="E554" s="608">
        <v>767000</v>
      </c>
      <c r="F554" s="609" t="s">
        <v>1179</v>
      </c>
      <c r="G554" s="610"/>
      <c r="H554" s="610"/>
      <c r="I554" s="611" t="s">
        <v>175</v>
      </c>
      <c r="J554" s="616">
        <v>780</v>
      </c>
      <c r="K554" s="613">
        <v>780</v>
      </c>
      <c r="L554" s="616">
        <v>780</v>
      </c>
      <c r="M554" s="616">
        <v>780</v>
      </c>
      <c r="N554" s="614">
        <v>770.255</v>
      </c>
      <c r="O554" s="648"/>
      <c r="P554" s="648"/>
      <c r="R554" s="626"/>
      <c r="T554" s="633"/>
      <c r="U554" s="634"/>
    </row>
    <row r="555" spans="2:21" ht="19.149999999999999" customHeight="1">
      <c r="B555" s="617"/>
      <c r="C555" s="656"/>
      <c r="D555" s="618"/>
      <c r="E555" s="619" t="s">
        <v>547</v>
      </c>
      <c r="F555" s="620" t="s">
        <v>855</v>
      </c>
      <c r="G555" s="621">
        <f>SUM(G551:G554)</f>
        <v>0</v>
      </c>
      <c r="H555" s="621">
        <f>SUM(H551:H554)</f>
        <v>0</v>
      </c>
      <c r="I555" s="622"/>
      <c r="J555" s="623">
        <f>SUM(J551:J554)</f>
        <v>7750</v>
      </c>
      <c r="K555" s="624">
        <f>SUM(K551:K554)</f>
        <v>7700</v>
      </c>
      <c r="L555" s="623">
        <f>SUM(L551:L554)</f>
        <v>7615</v>
      </c>
      <c r="M555" s="623">
        <f>SUM(M551:M554)</f>
        <v>7615</v>
      </c>
      <c r="N555" s="625">
        <f>SUM(N551:N554)</f>
        <v>7619.0884999999998</v>
      </c>
      <c r="O555" s="648"/>
      <c r="P555" s="648"/>
      <c r="R555" s="626"/>
      <c r="T555" s="633"/>
      <c r="U555" s="632"/>
    </row>
    <row r="556" spans="2:21" ht="19.149999999999999" customHeight="1">
      <c r="B556" s="704"/>
      <c r="C556" s="684"/>
      <c r="D556" s="705"/>
      <c r="E556" s="695" t="s">
        <v>856</v>
      </c>
      <c r="F556" s="687" t="s">
        <v>857</v>
      </c>
      <c r="G556" s="706"/>
      <c r="H556" s="706"/>
      <c r="I556" s="707"/>
      <c r="J556" s="690"/>
      <c r="K556" s="693"/>
      <c r="L556" s="690"/>
      <c r="M556" s="690"/>
      <c r="N556" s="708"/>
      <c r="O556" s="648"/>
      <c r="P556" s="648"/>
      <c r="R556" s="626"/>
      <c r="T556" s="633"/>
      <c r="U556" s="632"/>
    </row>
    <row r="557" spans="2:21" ht="19.149999999999999" customHeight="1">
      <c r="B557" s="606" t="s">
        <v>857</v>
      </c>
      <c r="C557" s="655">
        <v>1</v>
      </c>
      <c r="D557" s="615">
        <v>100</v>
      </c>
      <c r="E557" s="608">
        <v>769100</v>
      </c>
      <c r="F557" s="609" t="s">
        <v>1058</v>
      </c>
      <c r="G557" s="610">
        <v>2</v>
      </c>
      <c r="H557" s="610">
        <v>2.0344833333333336</v>
      </c>
      <c r="I557" s="611" t="s">
        <v>669</v>
      </c>
      <c r="J557" s="616">
        <v>440</v>
      </c>
      <c r="K557" s="613">
        <v>400</v>
      </c>
      <c r="L557" s="616">
        <v>440</v>
      </c>
      <c r="M557" s="616">
        <v>448</v>
      </c>
      <c r="N557" s="614">
        <v>417.74925000000002</v>
      </c>
      <c r="O557" s="648"/>
      <c r="P557" s="648"/>
      <c r="R557" s="626"/>
      <c r="T557" s="633"/>
      <c r="U557" s="634"/>
    </row>
    <row r="558" spans="2:21" ht="19.149999999999999" customHeight="1">
      <c r="B558" s="606" t="s">
        <v>857</v>
      </c>
      <c r="C558" s="757">
        <v>2</v>
      </c>
      <c r="D558" s="758">
        <v>410</v>
      </c>
      <c r="E558" s="608">
        <v>769100</v>
      </c>
      <c r="F558" s="609" t="s">
        <v>342</v>
      </c>
      <c r="G558" s="610"/>
      <c r="H558" s="610"/>
      <c r="I558" s="611" t="s">
        <v>175</v>
      </c>
      <c r="J558" s="616">
        <v>80</v>
      </c>
      <c r="K558" s="613">
        <v>40</v>
      </c>
      <c r="L558" s="616">
        <v>40</v>
      </c>
      <c r="M558" s="616">
        <v>0</v>
      </c>
      <c r="N558" s="614">
        <v>0</v>
      </c>
      <c r="O558" s="648"/>
      <c r="P558" s="648"/>
      <c r="R558" s="626"/>
      <c r="T558" s="633"/>
      <c r="U558" s="634"/>
    </row>
    <row r="559" spans="2:21" ht="19.149999999999999" customHeight="1">
      <c r="B559" s="606" t="s">
        <v>857</v>
      </c>
      <c r="C559" s="654">
        <v>10</v>
      </c>
      <c r="D559" s="607">
        <v>540</v>
      </c>
      <c r="E559" s="608">
        <v>769100</v>
      </c>
      <c r="F559" s="609" t="s">
        <v>1648</v>
      </c>
      <c r="G559" s="610"/>
      <c r="H559" s="610"/>
      <c r="I559" s="611" t="s">
        <v>175</v>
      </c>
      <c r="J559" s="616">
        <v>3</v>
      </c>
      <c r="K559" s="613">
        <v>3</v>
      </c>
      <c r="L559" s="616">
        <v>3</v>
      </c>
      <c r="M559" s="616">
        <v>6</v>
      </c>
      <c r="N559" s="614">
        <v>2.8831599999999997</v>
      </c>
      <c r="O559" s="648"/>
      <c r="P559" s="648"/>
      <c r="R559" s="626"/>
      <c r="T559" s="633"/>
      <c r="U559" s="634"/>
    </row>
    <row r="560" spans="2:21" ht="19.149999999999999" customHeight="1">
      <c r="B560" s="606" t="s">
        <v>857</v>
      </c>
      <c r="C560" s="655">
        <v>1</v>
      </c>
      <c r="D560" s="615">
        <v>755</v>
      </c>
      <c r="E560" s="608">
        <v>769100</v>
      </c>
      <c r="F560" s="609" t="s">
        <v>616</v>
      </c>
      <c r="G560" s="610"/>
      <c r="H560" s="610"/>
      <c r="I560" s="611" t="s">
        <v>44</v>
      </c>
      <c r="J560" s="616">
        <v>0</v>
      </c>
      <c r="K560" s="613">
        <v>0</v>
      </c>
      <c r="L560" s="616">
        <v>0</v>
      </c>
      <c r="M560" s="616">
        <v>5</v>
      </c>
      <c r="N560" s="614">
        <v>5</v>
      </c>
      <c r="O560" s="648"/>
      <c r="P560" s="648"/>
      <c r="R560" s="626"/>
      <c r="T560" s="633"/>
      <c r="U560" s="634"/>
    </row>
    <row r="561" spans="2:21" ht="19.149999999999999" customHeight="1">
      <c r="B561" s="606" t="s">
        <v>857</v>
      </c>
      <c r="C561" s="655">
        <v>1</v>
      </c>
      <c r="D561" s="615">
        <v>780</v>
      </c>
      <c r="E561" s="608">
        <v>769100</v>
      </c>
      <c r="F561" s="609" t="s">
        <v>1037</v>
      </c>
      <c r="G561" s="610"/>
      <c r="H561" s="610"/>
      <c r="I561" s="611" t="s">
        <v>44</v>
      </c>
      <c r="J561" s="616">
        <v>288</v>
      </c>
      <c r="K561" s="613">
        <v>286</v>
      </c>
      <c r="L561" s="616">
        <v>286</v>
      </c>
      <c r="M561" s="616">
        <v>298</v>
      </c>
      <c r="N561" s="614">
        <v>265.73412999999999</v>
      </c>
      <c r="O561" s="648"/>
      <c r="P561" s="648"/>
      <c r="R561" s="626"/>
      <c r="T561" s="633"/>
      <c r="U561" s="634"/>
    </row>
    <row r="562" spans="2:21" ht="19.149999999999999" customHeight="1">
      <c r="B562" s="617"/>
      <c r="C562" s="656"/>
      <c r="D562" s="618"/>
      <c r="E562" s="619" t="s">
        <v>856</v>
      </c>
      <c r="F562" s="620" t="s">
        <v>858</v>
      </c>
      <c r="G562" s="621">
        <f>SUM(G557:G561)</f>
        <v>2</v>
      </c>
      <c r="H562" s="621">
        <f>SUM(H557:H561)</f>
        <v>2.0344833333333336</v>
      </c>
      <c r="I562" s="622"/>
      <c r="J562" s="623">
        <f>SUM(J557:J561)</f>
        <v>811</v>
      </c>
      <c r="K562" s="624">
        <f>SUM(K557:K561)</f>
        <v>729</v>
      </c>
      <c r="L562" s="623">
        <f>SUM(L557:L561)</f>
        <v>769</v>
      </c>
      <c r="M562" s="623">
        <f>SUM(M557:M561)</f>
        <v>757</v>
      </c>
      <c r="N562" s="625">
        <f>SUM(N557:N561)</f>
        <v>691.36653999999999</v>
      </c>
      <c r="O562" s="648"/>
      <c r="P562" s="648"/>
      <c r="R562" s="626"/>
      <c r="T562" s="633"/>
      <c r="U562" s="632"/>
    </row>
    <row r="563" spans="2:21" ht="19.149999999999999" customHeight="1">
      <c r="B563" s="704"/>
      <c r="C563" s="684"/>
      <c r="D563" s="705"/>
      <c r="E563" s="695" t="s">
        <v>1272</v>
      </c>
      <c r="F563" s="687" t="s">
        <v>1273</v>
      </c>
      <c r="G563" s="706"/>
      <c r="H563" s="706"/>
      <c r="I563" s="707"/>
      <c r="J563" s="690"/>
      <c r="K563" s="693"/>
      <c r="L563" s="690"/>
      <c r="M563" s="690"/>
      <c r="N563" s="708"/>
      <c r="O563" s="648"/>
      <c r="P563" s="648"/>
      <c r="R563" s="626"/>
      <c r="T563" s="633"/>
      <c r="U563" s="632"/>
    </row>
    <row r="564" spans="2:21" ht="19.149999999999999" customHeight="1">
      <c r="B564" s="606" t="s">
        <v>1273</v>
      </c>
      <c r="C564" s="654">
        <v>82</v>
      </c>
      <c r="D564" s="607">
        <v>100</v>
      </c>
      <c r="E564" s="608">
        <v>769200</v>
      </c>
      <c r="F564" s="609" t="s">
        <v>1058</v>
      </c>
      <c r="G564" s="610">
        <v>2</v>
      </c>
      <c r="H564" s="610">
        <v>2</v>
      </c>
      <c r="I564" s="611" t="s">
        <v>669</v>
      </c>
      <c r="J564" s="616">
        <v>326</v>
      </c>
      <c r="K564" s="613">
        <v>319</v>
      </c>
      <c r="L564" s="616">
        <v>336</v>
      </c>
      <c r="M564" s="616">
        <v>336</v>
      </c>
      <c r="N564" s="614">
        <v>278.41465000000005</v>
      </c>
      <c r="O564" s="648"/>
      <c r="P564" s="648"/>
      <c r="R564" s="626"/>
      <c r="T564" s="633"/>
      <c r="U564" s="634"/>
    </row>
    <row r="565" spans="2:21" ht="19.149999999999999" customHeight="1">
      <c r="B565" s="606" t="s">
        <v>1273</v>
      </c>
      <c r="C565" s="654">
        <v>5</v>
      </c>
      <c r="D565" s="607">
        <v>420</v>
      </c>
      <c r="E565" s="608">
        <v>769200</v>
      </c>
      <c r="F565" s="609" t="s">
        <v>544</v>
      </c>
      <c r="G565" s="610"/>
      <c r="H565" s="610"/>
      <c r="I565" s="611" t="s">
        <v>44</v>
      </c>
      <c r="J565" s="616">
        <v>10</v>
      </c>
      <c r="K565" s="613">
        <v>10</v>
      </c>
      <c r="L565" s="616">
        <v>10</v>
      </c>
      <c r="M565" s="616">
        <v>10</v>
      </c>
      <c r="N565" s="614">
        <v>6.2210400000000003</v>
      </c>
      <c r="O565" s="648"/>
      <c r="P565" s="648"/>
      <c r="R565" s="626"/>
      <c r="T565" s="633"/>
      <c r="U565" s="634"/>
    </row>
    <row r="566" spans="2:21" ht="19.149999999999999" customHeight="1">
      <c r="B566" s="606" t="s">
        <v>1273</v>
      </c>
      <c r="C566" s="654">
        <v>82</v>
      </c>
      <c r="D566" s="607">
        <v>470</v>
      </c>
      <c r="E566" s="608">
        <v>769200</v>
      </c>
      <c r="F566" s="609" t="s">
        <v>343</v>
      </c>
      <c r="G566" s="610"/>
      <c r="H566" s="610"/>
      <c r="I566" s="611" t="s">
        <v>44</v>
      </c>
      <c r="J566" s="616">
        <v>7</v>
      </c>
      <c r="K566" s="613">
        <v>7</v>
      </c>
      <c r="L566" s="616">
        <v>7</v>
      </c>
      <c r="M566" s="616">
        <v>7</v>
      </c>
      <c r="N566" s="614">
        <v>6.7215400000000001</v>
      </c>
      <c r="O566" s="648"/>
      <c r="P566" s="648"/>
      <c r="R566" s="626"/>
      <c r="T566" s="633"/>
      <c r="U566" s="634"/>
    </row>
    <row r="567" spans="2:21" ht="19.149999999999999" customHeight="1">
      <c r="B567" s="606" t="s">
        <v>1273</v>
      </c>
      <c r="C567" s="654">
        <v>10</v>
      </c>
      <c r="D567" s="607">
        <v>540</v>
      </c>
      <c r="E567" s="608">
        <v>769200</v>
      </c>
      <c r="F567" s="609" t="s">
        <v>1648</v>
      </c>
      <c r="G567" s="610"/>
      <c r="H567" s="610"/>
      <c r="I567" s="611" t="s">
        <v>175</v>
      </c>
      <c r="J567" s="616">
        <v>7</v>
      </c>
      <c r="K567" s="613">
        <v>7</v>
      </c>
      <c r="L567" s="616">
        <v>7</v>
      </c>
      <c r="M567" s="616">
        <v>7</v>
      </c>
      <c r="N567" s="614">
        <v>7.3545600000000002</v>
      </c>
      <c r="O567" s="648"/>
      <c r="P567" s="648"/>
      <c r="R567" s="626"/>
      <c r="T567" s="633"/>
      <c r="U567" s="634"/>
    </row>
    <row r="568" spans="2:21" ht="19.149999999999999" customHeight="1">
      <c r="B568" s="606" t="s">
        <v>1273</v>
      </c>
      <c r="C568" s="654">
        <v>12</v>
      </c>
      <c r="D568" s="607">
        <v>550</v>
      </c>
      <c r="E568" s="608">
        <v>769200</v>
      </c>
      <c r="F568" s="609" t="s">
        <v>607</v>
      </c>
      <c r="G568" s="610"/>
      <c r="H568" s="610"/>
      <c r="I568" s="611" t="s">
        <v>44</v>
      </c>
      <c r="J568" s="616">
        <v>38</v>
      </c>
      <c r="K568" s="613">
        <v>38</v>
      </c>
      <c r="L568" s="616">
        <v>38</v>
      </c>
      <c r="M568" s="616">
        <v>38</v>
      </c>
      <c r="N568" s="614">
        <v>37.994300000000003</v>
      </c>
      <c r="O568" s="648"/>
      <c r="P568" s="648"/>
      <c r="R568" s="626"/>
      <c r="T568" s="633"/>
      <c r="U568" s="634"/>
    </row>
    <row r="569" spans="2:21" ht="19.149999999999999" customHeight="1">
      <c r="B569" s="606" t="s">
        <v>1273</v>
      </c>
      <c r="C569" s="654">
        <v>10</v>
      </c>
      <c r="D569" s="607">
        <v>570</v>
      </c>
      <c r="E569" s="608">
        <v>769200</v>
      </c>
      <c r="F569" s="609" t="s">
        <v>608</v>
      </c>
      <c r="G569" s="610"/>
      <c r="H569" s="610"/>
      <c r="I569" s="611" t="s">
        <v>175</v>
      </c>
      <c r="J569" s="616">
        <v>18</v>
      </c>
      <c r="K569" s="613">
        <v>18</v>
      </c>
      <c r="L569" s="616">
        <v>22</v>
      </c>
      <c r="M569" s="616">
        <v>22</v>
      </c>
      <c r="N569" s="614">
        <v>8.1069300000000002</v>
      </c>
      <c r="O569" s="648"/>
      <c r="P569" s="648"/>
      <c r="R569" s="626"/>
      <c r="T569" s="633"/>
      <c r="U569" s="634"/>
    </row>
    <row r="570" spans="2:21" ht="19.149999999999999" customHeight="1">
      <c r="B570" s="606" t="s">
        <v>1273</v>
      </c>
      <c r="C570" s="654">
        <v>5</v>
      </c>
      <c r="D570" s="607">
        <v>750</v>
      </c>
      <c r="E570" s="608">
        <v>769200</v>
      </c>
      <c r="F570" s="609" t="s">
        <v>361</v>
      </c>
      <c r="G570" s="610"/>
      <c r="H570" s="610"/>
      <c r="I570" s="611" t="s">
        <v>175</v>
      </c>
      <c r="J570" s="616">
        <v>108</v>
      </c>
      <c r="K570" s="613">
        <v>98</v>
      </c>
      <c r="L570" s="616">
        <v>105</v>
      </c>
      <c r="M570" s="616">
        <v>105</v>
      </c>
      <c r="N570" s="614">
        <v>102.49081</v>
      </c>
      <c r="O570" s="648"/>
      <c r="P570" s="648"/>
      <c r="R570" s="626"/>
      <c r="T570" s="633"/>
      <c r="U570" s="634"/>
    </row>
    <row r="571" spans="2:21" ht="19.149999999999999" customHeight="1">
      <c r="B571" s="606" t="s">
        <v>1273</v>
      </c>
      <c r="C571" s="654">
        <v>82</v>
      </c>
      <c r="D571" s="607">
        <v>755</v>
      </c>
      <c r="E571" s="608">
        <v>769200</v>
      </c>
      <c r="F571" s="710" t="s">
        <v>616</v>
      </c>
      <c r="G571" s="610"/>
      <c r="H571" s="610"/>
      <c r="I571" s="611" t="s">
        <v>44</v>
      </c>
      <c r="J571" s="616">
        <v>20</v>
      </c>
      <c r="K571" s="613">
        <v>6</v>
      </c>
      <c r="L571" s="616">
        <v>20</v>
      </c>
      <c r="M571" s="616">
        <v>20</v>
      </c>
      <c r="N571" s="614">
        <v>15.619009999999999</v>
      </c>
      <c r="O571" s="648"/>
      <c r="P571" s="648"/>
      <c r="R571" s="626"/>
      <c r="T571" s="633"/>
      <c r="U571" s="634"/>
    </row>
    <row r="572" spans="2:21" ht="19.149999999999999" customHeight="1">
      <c r="B572" s="606" t="s">
        <v>1273</v>
      </c>
      <c r="C572" s="655">
        <v>82</v>
      </c>
      <c r="D572" s="615">
        <v>780</v>
      </c>
      <c r="E572" s="608">
        <v>769200</v>
      </c>
      <c r="F572" s="609" t="s">
        <v>1037</v>
      </c>
      <c r="G572" s="610"/>
      <c r="H572" s="610"/>
      <c r="I572" s="611" t="s">
        <v>44</v>
      </c>
      <c r="J572" s="616">
        <v>381</v>
      </c>
      <c r="K572" s="613">
        <v>345</v>
      </c>
      <c r="L572" s="616">
        <v>345</v>
      </c>
      <c r="M572" s="616">
        <v>415</v>
      </c>
      <c r="N572" s="614">
        <v>342.74604999999997</v>
      </c>
      <c r="O572" s="648"/>
      <c r="P572" s="648"/>
      <c r="R572" s="626"/>
      <c r="T572" s="633"/>
      <c r="U572" s="634"/>
    </row>
    <row r="573" spans="2:21" ht="19.149999999999999" customHeight="1">
      <c r="B573" s="606" t="s">
        <v>1273</v>
      </c>
      <c r="C573" s="654">
        <v>82</v>
      </c>
      <c r="D573" s="607">
        <v>781</v>
      </c>
      <c r="E573" s="608">
        <v>769200</v>
      </c>
      <c r="F573" s="609" t="s">
        <v>1582</v>
      </c>
      <c r="G573" s="610"/>
      <c r="H573" s="610"/>
      <c r="I573" s="611" t="s">
        <v>44</v>
      </c>
      <c r="J573" s="616">
        <v>65</v>
      </c>
      <c r="K573" s="613">
        <v>20</v>
      </c>
      <c r="L573" s="616">
        <v>65</v>
      </c>
      <c r="M573" s="616">
        <v>65</v>
      </c>
      <c r="N573" s="614">
        <v>8.423</v>
      </c>
      <c r="O573" s="648"/>
      <c r="P573" s="648"/>
      <c r="R573" s="626"/>
      <c r="T573" s="633"/>
      <c r="U573" s="634"/>
    </row>
    <row r="574" spans="2:21" ht="19.149999999999999" customHeight="1">
      <c r="B574" s="606" t="s">
        <v>1273</v>
      </c>
      <c r="C574" s="654">
        <v>82</v>
      </c>
      <c r="D574" s="607">
        <v>930</v>
      </c>
      <c r="E574" s="608">
        <v>769200</v>
      </c>
      <c r="F574" s="609" t="s">
        <v>611</v>
      </c>
      <c r="G574" s="610"/>
      <c r="H574" s="610"/>
      <c r="I574" s="611" t="s">
        <v>44</v>
      </c>
      <c r="J574" s="616">
        <v>14</v>
      </c>
      <c r="K574" s="613">
        <v>15</v>
      </c>
      <c r="L574" s="616">
        <v>15</v>
      </c>
      <c r="M574" s="616">
        <v>15</v>
      </c>
      <c r="N574" s="614">
        <v>3.1801200000000001</v>
      </c>
      <c r="O574" s="648"/>
      <c r="P574" s="648"/>
      <c r="R574" s="626"/>
      <c r="T574" s="633"/>
      <c r="U574" s="634"/>
    </row>
    <row r="575" spans="2:21" ht="19.149999999999999" customHeight="1">
      <c r="B575" s="617"/>
      <c r="C575" s="656"/>
      <c r="D575" s="618"/>
      <c r="E575" s="619" t="s">
        <v>1272</v>
      </c>
      <c r="F575" s="620" t="s">
        <v>1271</v>
      </c>
      <c r="G575" s="621">
        <f>SUM(G564:G574)</f>
        <v>2</v>
      </c>
      <c r="H575" s="621">
        <f>SUM(H564:H574)</f>
        <v>2</v>
      </c>
      <c r="I575" s="622"/>
      <c r="J575" s="623">
        <f>SUM(J563:J574)</f>
        <v>994</v>
      </c>
      <c r="K575" s="624">
        <f>SUM(K563:K574)</f>
        <v>883</v>
      </c>
      <c r="L575" s="623">
        <f>SUM(L563:L574)</f>
        <v>970</v>
      </c>
      <c r="M575" s="623">
        <f>SUM(M563:M574)</f>
        <v>1040</v>
      </c>
      <c r="N575" s="625">
        <f>SUM(N563:N574)</f>
        <v>817.27201000000002</v>
      </c>
      <c r="O575" s="648"/>
      <c r="P575" s="648"/>
      <c r="R575" s="626"/>
      <c r="T575" s="633"/>
      <c r="U575" s="632"/>
    </row>
    <row r="576" spans="2:21" ht="19.149999999999999" customHeight="1">
      <c r="B576" s="617"/>
      <c r="C576" s="656"/>
      <c r="D576" s="618"/>
      <c r="E576" s="619" t="s">
        <v>353</v>
      </c>
      <c r="F576" s="620" t="s">
        <v>859</v>
      </c>
      <c r="G576" s="621">
        <f>SUMIF($E$513:$E$575,"*.",G513:G575)</f>
        <v>32.5</v>
      </c>
      <c r="H576" s="621">
        <f>SUMIF($E$513:$E$575,"*.",H513:H575)</f>
        <v>32.756166666666672</v>
      </c>
      <c r="I576" s="622"/>
      <c r="J576" s="623">
        <f>SUMIF($E$513:$E$575,"*.",J513:J575)</f>
        <v>20804</v>
      </c>
      <c r="K576" s="624">
        <f>SUMIF($E$513:$E$575,"*.",K513:K575)</f>
        <v>19661</v>
      </c>
      <c r="L576" s="623">
        <f>SUMIF($E$513:$E$575,"*.",L513:L575)</f>
        <v>19911</v>
      </c>
      <c r="M576" s="623">
        <f>SUMIF($E$513:$E$575,"*.",M513:M575)</f>
        <v>19576</v>
      </c>
      <c r="N576" s="625">
        <f>SUMIF($E$513:$E$575,"*.",N513:N575)</f>
        <v>18744.431970000001</v>
      </c>
      <c r="O576" s="648"/>
      <c r="P576" s="648"/>
      <c r="R576" s="626"/>
      <c r="T576" s="633"/>
      <c r="U576" s="632"/>
    </row>
    <row r="577" spans="2:21" ht="19.149999999999999" customHeight="1">
      <c r="B577" s="704"/>
      <c r="C577" s="684"/>
      <c r="D577" s="705"/>
      <c r="E577" s="695" t="s">
        <v>718</v>
      </c>
      <c r="F577" s="687" t="s">
        <v>7</v>
      </c>
      <c r="G577" s="706"/>
      <c r="H577" s="706"/>
      <c r="I577" s="707"/>
      <c r="J577" s="690"/>
      <c r="K577" s="759"/>
      <c r="L577" s="690"/>
      <c r="M577" s="690"/>
      <c r="N577" s="708"/>
      <c r="O577" s="648"/>
      <c r="P577" s="648"/>
      <c r="R577" s="626"/>
      <c r="T577" s="633"/>
      <c r="U577" s="632"/>
    </row>
    <row r="578" spans="2:21" ht="19.149999999999999" customHeight="1">
      <c r="B578" s="704"/>
      <c r="C578" s="684"/>
      <c r="D578" s="705"/>
      <c r="E578" s="695" t="s">
        <v>716</v>
      </c>
      <c r="F578" s="687" t="s">
        <v>2034</v>
      </c>
      <c r="G578" s="706"/>
      <c r="H578" s="706"/>
      <c r="I578" s="707"/>
      <c r="J578" s="690"/>
      <c r="K578" s="760"/>
      <c r="L578" s="690"/>
      <c r="M578" s="690"/>
      <c r="N578" s="708"/>
      <c r="O578" s="648"/>
      <c r="P578" s="648"/>
      <c r="R578" s="626"/>
      <c r="T578" s="633"/>
      <c r="U578" s="632"/>
    </row>
    <row r="579" spans="2:21" ht="19.149999999999999" customHeight="1">
      <c r="B579" s="606" t="s">
        <v>715</v>
      </c>
      <c r="C579" s="654">
        <v>1</v>
      </c>
      <c r="D579" s="607">
        <v>100</v>
      </c>
      <c r="E579" s="608">
        <v>771000</v>
      </c>
      <c r="F579" s="609" t="s">
        <v>1058</v>
      </c>
      <c r="G579" s="610">
        <v>0</v>
      </c>
      <c r="H579" s="610">
        <v>0</v>
      </c>
      <c r="I579" s="611" t="s">
        <v>669</v>
      </c>
      <c r="J579" s="616">
        <v>0</v>
      </c>
      <c r="K579" s="761">
        <v>0</v>
      </c>
      <c r="L579" s="616">
        <v>0</v>
      </c>
      <c r="M579" s="616">
        <v>0</v>
      </c>
      <c r="N579" s="614">
        <v>158.47748000000001</v>
      </c>
      <c r="O579" s="648"/>
      <c r="P579" s="648"/>
      <c r="R579" s="626"/>
      <c r="T579" s="633"/>
      <c r="U579" s="634"/>
    </row>
    <row r="580" spans="2:21" ht="19.149999999999999" customHeight="1">
      <c r="B580" s="606" t="s">
        <v>715</v>
      </c>
      <c r="C580" s="654">
        <v>2</v>
      </c>
      <c r="D580" s="607">
        <v>410</v>
      </c>
      <c r="E580" s="608">
        <v>771000</v>
      </c>
      <c r="F580" s="609" t="s">
        <v>342</v>
      </c>
      <c r="G580" s="610"/>
      <c r="H580" s="610"/>
      <c r="I580" s="611" t="s">
        <v>175</v>
      </c>
      <c r="J580" s="616">
        <v>0</v>
      </c>
      <c r="K580" s="762">
        <v>0</v>
      </c>
      <c r="L580" s="616">
        <v>0</v>
      </c>
      <c r="M580" s="616">
        <v>0</v>
      </c>
      <c r="N580" s="614">
        <v>72.015000000000001</v>
      </c>
      <c r="O580" s="648"/>
      <c r="P580" s="648"/>
      <c r="R580" s="626"/>
      <c r="T580" s="633"/>
      <c r="U580" s="634"/>
    </row>
    <row r="581" spans="2:21" ht="19.149999999999999" customHeight="1">
      <c r="B581" s="606" t="s">
        <v>715</v>
      </c>
      <c r="C581" s="654">
        <v>1</v>
      </c>
      <c r="D581" s="607">
        <v>430</v>
      </c>
      <c r="E581" s="608">
        <v>771000</v>
      </c>
      <c r="F581" s="609" t="s">
        <v>192</v>
      </c>
      <c r="G581" s="610"/>
      <c r="H581" s="610"/>
      <c r="I581" s="611" t="s">
        <v>175</v>
      </c>
      <c r="J581" s="616">
        <v>0</v>
      </c>
      <c r="K581" s="762">
        <v>0</v>
      </c>
      <c r="L581" s="616">
        <v>0</v>
      </c>
      <c r="M581" s="616">
        <v>0</v>
      </c>
      <c r="N581" s="614">
        <v>1.0589999999999999</v>
      </c>
      <c r="O581" s="648"/>
      <c r="P581" s="648"/>
      <c r="R581" s="626"/>
      <c r="T581" s="633"/>
      <c r="U581" s="634"/>
    </row>
    <row r="582" spans="2:21" ht="19.149999999999999" customHeight="1">
      <c r="B582" s="606" t="s">
        <v>715</v>
      </c>
      <c r="C582" s="654">
        <v>10</v>
      </c>
      <c r="D582" s="607">
        <v>540</v>
      </c>
      <c r="E582" s="608">
        <v>771000</v>
      </c>
      <c r="F582" s="609" t="s">
        <v>1649</v>
      </c>
      <c r="G582" s="610"/>
      <c r="H582" s="610"/>
      <c r="I582" s="611" t="s">
        <v>175</v>
      </c>
      <c r="J582" s="616">
        <v>0</v>
      </c>
      <c r="K582" s="762">
        <v>0</v>
      </c>
      <c r="L582" s="616">
        <v>0</v>
      </c>
      <c r="M582" s="616">
        <v>0</v>
      </c>
      <c r="N582" s="614">
        <v>3.5996199999999998</v>
      </c>
      <c r="O582" s="648"/>
      <c r="P582" s="648"/>
      <c r="R582" s="626"/>
      <c r="T582" s="633"/>
      <c r="U582" s="634"/>
    </row>
    <row r="583" spans="2:21" ht="19.149999999999999" customHeight="1">
      <c r="B583" s="606" t="s">
        <v>715</v>
      </c>
      <c r="C583" s="654">
        <v>12</v>
      </c>
      <c r="D583" s="607">
        <v>550</v>
      </c>
      <c r="E583" s="608">
        <v>771000</v>
      </c>
      <c r="F583" s="609" t="s">
        <v>454</v>
      </c>
      <c r="G583" s="610"/>
      <c r="H583" s="610"/>
      <c r="I583" s="611" t="s">
        <v>44</v>
      </c>
      <c r="J583" s="616">
        <v>0</v>
      </c>
      <c r="K583" s="762">
        <v>0</v>
      </c>
      <c r="L583" s="616">
        <v>0</v>
      </c>
      <c r="M583" s="616">
        <v>0</v>
      </c>
      <c r="N583" s="614">
        <v>19.284500000000001</v>
      </c>
      <c r="O583" s="648"/>
      <c r="P583" s="648"/>
      <c r="R583" s="626"/>
      <c r="T583" s="633"/>
      <c r="U583" s="634"/>
    </row>
    <row r="584" spans="2:21" ht="19.149999999999999" customHeight="1">
      <c r="B584" s="606" t="s">
        <v>715</v>
      </c>
      <c r="C584" s="654">
        <v>1</v>
      </c>
      <c r="D584" s="607">
        <v>710</v>
      </c>
      <c r="E584" s="608">
        <v>771000</v>
      </c>
      <c r="F584" s="609" t="s">
        <v>2016</v>
      </c>
      <c r="G584" s="610"/>
      <c r="H584" s="610"/>
      <c r="I584" s="611" t="s">
        <v>175</v>
      </c>
      <c r="J584" s="616">
        <v>0</v>
      </c>
      <c r="K584" s="762">
        <v>0</v>
      </c>
      <c r="L584" s="616">
        <v>0</v>
      </c>
      <c r="M584" s="616">
        <v>0</v>
      </c>
      <c r="N584" s="614">
        <v>604.98</v>
      </c>
      <c r="O584" s="648"/>
      <c r="P584" s="648"/>
      <c r="R584" s="626"/>
      <c r="T584" s="633"/>
      <c r="U584" s="634"/>
    </row>
    <row r="585" spans="2:21" ht="19.149999999999999" customHeight="1">
      <c r="B585" s="606" t="s">
        <v>715</v>
      </c>
      <c r="C585" s="654">
        <v>5</v>
      </c>
      <c r="D585" s="607">
        <v>750</v>
      </c>
      <c r="E585" s="608">
        <v>771000</v>
      </c>
      <c r="F585" s="609" t="s">
        <v>361</v>
      </c>
      <c r="G585" s="610"/>
      <c r="H585" s="610"/>
      <c r="I585" s="611" t="s">
        <v>175</v>
      </c>
      <c r="J585" s="616">
        <v>0</v>
      </c>
      <c r="K585" s="762">
        <v>0</v>
      </c>
      <c r="L585" s="616">
        <v>0</v>
      </c>
      <c r="M585" s="616">
        <v>0</v>
      </c>
      <c r="N585" s="614">
        <v>6.9309899999999995</v>
      </c>
      <c r="O585" s="648"/>
      <c r="P585" s="648"/>
      <c r="R585" s="626"/>
      <c r="T585" s="633"/>
      <c r="U585" s="634"/>
    </row>
    <row r="586" spans="2:21" ht="19.149999999999999" customHeight="1">
      <c r="B586" s="606" t="s">
        <v>715</v>
      </c>
      <c r="C586" s="654">
        <v>1</v>
      </c>
      <c r="D586" s="607">
        <v>780</v>
      </c>
      <c r="E586" s="608">
        <v>771000</v>
      </c>
      <c r="F586" s="724" t="s">
        <v>880</v>
      </c>
      <c r="G586" s="610"/>
      <c r="H586" s="610"/>
      <c r="I586" s="611" t="s">
        <v>44</v>
      </c>
      <c r="J586" s="616">
        <v>0</v>
      </c>
      <c r="K586" s="762">
        <v>0</v>
      </c>
      <c r="L586" s="616">
        <v>0</v>
      </c>
      <c r="M586" s="616">
        <v>0</v>
      </c>
      <c r="N586" s="614">
        <v>79.547660000000008</v>
      </c>
      <c r="O586" s="648"/>
      <c r="P586" s="648"/>
      <c r="R586" s="626"/>
      <c r="T586" s="633"/>
      <c r="U586" s="634"/>
    </row>
    <row r="587" spans="2:21" ht="19.149999999999999" customHeight="1">
      <c r="B587" s="617"/>
      <c r="C587" s="656"/>
      <c r="D587" s="618"/>
      <c r="E587" s="619" t="s">
        <v>716</v>
      </c>
      <c r="F587" s="620" t="s">
        <v>717</v>
      </c>
      <c r="G587" s="621">
        <f>SUM(G579:G586)</f>
        <v>0</v>
      </c>
      <c r="H587" s="621">
        <f>SUM(H579:H586)</f>
        <v>0</v>
      </c>
      <c r="I587" s="763"/>
      <c r="J587" s="718">
        <f>SUM(J579:J586)</f>
        <v>0</v>
      </c>
      <c r="K587" s="764">
        <f>SUM(K579:K586)</f>
        <v>0</v>
      </c>
      <c r="L587" s="765">
        <f>SUM(L579:L586)</f>
        <v>0</v>
      </c>
      <c r="M587" s="765">
        <f>SUM(M579:M586)</f>
        <v>0</v>
      </c>
      <c r="N587" s="766">
        <f>SUM(N579:N586)</f>
        <v>945.89425000000006</v>
      </c>
      <c r="O587" s="648"/>
      <c r="P587" s="648"/>
      <c r="R587" s="626"/>
      <c r="T587" s="633"/>
      <c r="U587" s="632"/>
    </row>
    <row r="588" spans="2:21" ht="19.149999999999999" customHeight="1">
      <c r="B588" s="617"/>
      <c r="C588" s="656"/>
      <c r="D588" s="618"/>
      <c r="E588" s="619" t="s">
        <v>718</v>
      </c>
      <c r="F588" s="620" t="s">
        <v>99</v>
      </c>
      <c r="G588" s="621">
        <f>SUMIF($E$577:$E$587,"*.",G577:G587)</f>
        <v>0</v>
      </c>
      <c r="H588" s="621">
        <f>SUMIF($E$577:$E$587,"*.",H577:H587)</f>
        <v>0</v>
      </c>
      <c r="I588" s="763"/>
      <c r="J588" s="623">
        <f>SUMIF($E$577:$E$587,"*.",J577:J587)</f>
        <v>0</v>
      </c>
      <c r="K588" s="624">
        <f>SUMIF($E$577:$E$587,"*.",K577:K587)</f>
        <v>0</v>
      </c>
      <c r="L588" s="767">
        <f>SUMIF($E$577:$E$587,"*.",L577:L587)</f>
        <v>0</v>
      </c>
      <c r="M588" s="767">
        <f>SUMIF($E$577:$E$587,"*.",M577:M587)</f>
        <v>0</v>
      </c>
      <c r="N588" s="768">
        <f>SUMIF($E$577:$E$587,"*.",N577:N587)</f>
        <v>945.89425000000006</v>
      </c>
      <c r="O588" s="648"/>
      <c r="P588" s="648"/>
      <c r="R588" s="626"/>
      <c r="T588" s="633"/>
      <c r="U588" s="632"/>
    </row>
    <row r="589" spans="2:21" ht="19.149999999999999" customHeight="1">
      <c r="B589" s="704"/>
      <c r="C589" s="684"/>
      <c r="D589" s="705"/>
      <c r="E589" s="695" t="s">
        <v>860</v>
      </c>
      <c r="F589" s="687" t="s">
        <v>1130</v>
      </c>
      <c r="G589" s="706"/>
      <c r="H589" s="706"/>
      <c r="I589" s="723"/>
      <c r="J589" s="690"/>
      <c r="K589" s="693"/>
      <c r="L589" s="690"/>
      <c r="M589" s="690"/>
      <c r="N589" s="708"/>
      <c r="O589" s="648"/>
      <c r="P589" s="648"/>
      <c r="R589" s="626"/>
      <c r="T589" s="633"/>
      <c r="U589" s="632"/>
    </row>
    <row r="590" spans="2:21" ht="19.149999999999999" customHeight="1">
      <c r="B590" s="704"/>
      <c r="C590" s="684"/>
      <c r="D590" s="705"/>
      <c r="E590" s="695" t="s">
        <v>861</v>
      </c>
      <c r="F590" s="687" t="s">
        <v>862</v>
      </c>
      <c r="G590" s="706"/>
      <c r="H590" s="706"/>
      <c r="I590" s="707"/>
      <c r="J590" s="690"/>
      <c r="K590" s="693"/>
      <c r="L590" s="690"/>
      <c r="M590" s="690"/>
      <c r="N590" s="708"/>
      <c r="O590" s="648"/>
      <c r="P590" s="648"/>
      <c r="R590" s="626"/>
      <c r="T590" s="633"/>
      <c r="U590" s="632"/>
    </row>
    <row r="591" spans="2:21" ht="19.149999999999999" customHeight="1">
      <c r="B591" s="606" t="s">
        <v>550</v>
      </c>
      <c r="C591" s="655">
        <v>9</v>
      </c>
      <c r="D591" s="615">
        <v>102</v>
      </c>
      <c r="E591" s="608">
        <v>781000</v>
      </c>
      <c r="F591" s="609" t="s">
        <v>1316</v>
      </c>
      <c r="G591" s="610">
        <v>37</v>
      </c>
      <c r="H591" s="610">
        <v>35.292116666666665</v>
      </c>
      <c r="I591" s="611" t="s">
        <v>669</v>
      </c>
      <c r="J591" s="616">
        <v>7244</v>
      </c>
      <c r="K591" s="613">
        <v>6649</v>
      </c>
      <c r="L591" s="616">
        <v>7404</v>
      </c>
      <c r="M591" s="616">
        <v>7862</v>
      </c>
      <c r="N591" s="614">
        <v>6061.8549499999999</v>
      </c>
      <c r="O591" s="648"/>
      <c r="P591" s="648"/>
      <c r="R591" s="626"/>
      <c r="T591" s="633"/>
      <c r="U591" s="634"/>
    </row>
    <row r="592" spans="2:21" ht="19.149999999999999" customHeight="1">
      <c r="B592" s="606" t="s">
        <v>550</v>
      </c>
      <c r="C592" s="654">
        <v>9</v>
      </c>
      <c r="D592" s="607">
        <v>127</v>
      </c>
      <c r="E592" s="608">
        <v>781000</v>
      </c>
      <c r="F592" s="609" t="s">
        <v>863</v>
      </c>
      <c r="G592" s="610"/>
      <c r="H592" s="610"/>
      <c r="I592" s="611" t="s">
        <v>669</v>
      </c>
      <c r="J592" s="616">
        <v>159</v>
      </c>
      <c r="K592" s="613">
        <v>159</v>
      </c>
      <c r="L592" s="616">
        <v>159</v>
      </c>
      <c r="M592" s="616">
        <v>159</v>
      </c>
      <c r="N592" s="614">
        <v>90.403009999999995</v>
      </c>
      <c r="O592" s="648"/>
      <c r="P592" s="648"/>
      <c r="R592" s="626"/>
      <c r="T592" s="633"/>
      <c r="U592" s="634"/>
    </row>
    <row r="593" spans="2:21" ht="19.149999999999999" customHeight="1">
      <c r="B593" s="606" t="s">
        <v>550</v>
      </c>
      <c r="C593" s="654">
        <v>10</v>
      </c>
      <c r="D593" s="607">
        <v>540</v>
      </c>
      <c r="E593" s="608">
        <v>781000</v>
      </c>
      <c r="F593" s="609" t="s">
        <v>1648</v>
      </c>
      <c r="G593" s="610"/>
      <c r="H593" s="610"/>
      <c r="I593" s="611" t="s">
        <v>175</v>
      </c>
      <c r="J593" s="616">
        <v>20</v>
      </c>
      <c r="K593" s="613">
        <v>20</v>
      </c>
      <c r="L593" s="616">
        <v>20</v>
      </c>
      <c r="M593" s="616">
        <v>24</v>
      </c>
      <c r="N593" s="614">
        <v>18.812519999999999</v>
      </c>
      <c r="O593" s="648"/>
      <c r="P593" s="648"/>
      <c r="R593" s="626"/>
      <c r="T593" s="633"/>
      <c r="U593" s="634"/>
    </row>
    <row r="594" spans="2:21" ht="19.149999999999999" customHeight="1">
      <c r="B594" s="606" t="s">
        <v>550</v>
      </c>
      <c r="C594" s="654">
        <v>9</v>
      </c>
      <c r="D594" s="607">
        <v>541</v>
      </c>
      <c r="E594" s="608">
        <v>781000</v>
      </c>
      <c r="F594" s="609" t="s">
        <v>1557</v>
      </c>
      <c r="G594" s="610"/>
      <c r="H594" s="610"/>
      <c r="I594" s="611" t="s">
        <v>175</v>
      </c>
      <c r="J594" s="616">
        <v>70</v>
      </c>
      <c r="K594" s="613">
        <v>70</v>
      </c>
      <c r="L594" s="616">
        <v>70</v>
      </c>
      <c r="M594" s="616">
        <v>70</v>
      </c>
      <c r="N594" s="614">
        <v>10.624379999999999</v>
      </c>
      <c r="O594" s="648"/>
      <c r="P594" s="648"/>
      <c r="R594" s="626"/>
      <c r="T594" s="633"/>
      <c r="U594" s="634"/>
    </row>
    <row r="595" spans="2:21" ht="19.149999999999999" customHeight="1">
      <c r="B595" s="606" t="s">
        <v>550</v>
      </c>
      <c r="C595" s="654">
        <v>12</v>
      </c>
      <c r="D595" s="607">
        <v>550</v>
      </c>
      <c r="E595" s="608">
        <v>781000</v>
      </c>
      <c r="F595" s="609" t="s">
        <v>454</v>
      </c>
      <c r="G595" s="610"/>
      <c r="H595" s="610"/>
      <c r="I595" s="611" t="s">
        <v>44</v>
      </c>
      <c r="J595" s="616">
        <v>10</v>
      </c>
      <c r="K595" s="613">
        <v>10</v>
      </c>
      <c r="L595" s="616">
        <v>10</v>
      </c>
      <c r="M595" s="616">
        <v>10</v>
      </c>
      <c r="N595" s="614">
        <v>10</v>
      </c>
      <c r="O595" s="648"/>
      <c r="P595" s="648"/>
      <c r="R595" s="626"/>
      <c r="T595" s="633"/>
      <c r="U595" s="634"/>
    </row>
    <row r="596" spans="2:21" ht="19.149999999999999" customHeight="1">
      <c r="B596" s="606" t="s">
        <v>550</v>
      </c>
      <c r="C596" s="654">
        <v>10</v>
      </c>
      <c r="D596" s="607">
        <v>570</v>
      </c>
      <c r="E596" s="608">
        <v>781000</v>
      </c>
      <c r="F596" s="609" t="s">
        <v>608</v>
      </c>
      <c r="G596" s="610"/>
      <c r="H596" s="610"/>
      <c r="I596" s="611" t="s">
        <v>175</v>
      </c>
      <c r="J596" s="616">
        <v>27</v>
      </c>
      <c r="K596" s="613">
        <v>27</v>
      </c>
      <c r="L596" s="616">
        <v>27</v>
      </c>
      <c r="M596" s="616">
        <v>27</v>
      </c>
      <c r="N596" s="614">
        <v>21.481759999999998</v>
      </c>
      <c r="O596" s="648"/>
      <c r="P596" s="648"/>
      <c r="R596" s="626"/>
      <c r="T596" s="633"/>
      <c r="U596" s="634"/>
    </row>
    <row r="597" spans="2:21" ht="19.149999999999999" customHeight="1">
      <c r="B597" s="606" t="s">
        <v>550</v>
      </c>
      <c r="C597" s="654">
        <v>5</v>
      </c>
      <c r="D597" s="607">
        <v>730</v>
      </c>
      <c r="E597" s="608">
        <v>781000</v>
      </c>
      <c r="F597" s="609" t="s">
        <v>1712</v>
      </c>
      <c r="G597" s="610"/>
      <c r="H597" s="610"/>
      <c r="I597" s="611" t="s">
        <v>175</v>
      </c>
      <c r="J597" s="612">
        <f>300</f>
        <v>300</v>
      </c>
      <c r="K597" s="613">
        <v>300</v>
      </c>
      <c r="L597" s="612">
        <v>320</v>
      </c>
      <c r="M597" s="612">
        <v>320</v>
      </c>
      <c r="N597" s="614">
        <v>282.74265000000003</v>
      </c>
      <c r="O597" s="648"/>
      <c r="P597" s="648"/>
      <c r="R597" s="626"/>
      <c r="T597" s="633"/>
      <c r="U597" s="635"/>
    </row>
    <row r="598" spans="2:21" ht="19.149999999999999" customHeight="1">
      <c r="B598" s="606" t="s">
        <v>550</v>
      </c>
      <c r="C598" s="654">
        <v>5</v>
      </c>
      <c r="D598" s="607">
        <v>731</v>
      </c>
      <c r="E598" s="608">
        <v>781000</v>
      </c>
      <c r="F598" s="609" t="s">
        <v>1873</v>
      </c>
      <c r="G598" s="610"/>
      <c r="H598" s="610"/>
      <c r="I598" s="611" t="s">
        <v>175</v>
      </c>
      <c r="J598" s="612">
        <f>570+35</f>
        <v>605</v>
      </c>
      <c r="K598" s="613">
        <v>570</v>
      </c>
      <c r="L598" s="612">
        <v>600</v>
      </c>
      <c r="M598" s="612">
        <v>600</v>
      </c>
      <c r="N598" s="614">
        <v>439.36662999999999</v>
      </c>
      <c r="O598" s="648"/>
      <c r="P598" s="648"/>
      <c r="R598" s="626"/>
      <c r="T598" s="633"/>
      <c r="U598" s="635"/>
    </row>
    <row r="599" spans="2:21" ht="18.649999999999999" customHeight="1">
      <c r="B599" s="606" t="s">
        <v>550</v>
      </c>
      <c r="C599" s="654">
        <v>5</v>
      </c>
      <c r="D599" s="607">
        <v>750</v>
      </c>
      <c r="E599" s="608">
        <v>781000</v>
      </c>
      <c r="F599" s="609" t="s">
        <v>1275</v>
      </c>
      <c r="G599" s="610"/>
      <c r="H599" s="610"/>
      <c r="I599" s="611" t="s">
        <v>175</v>
      </c>
      <c r="J599" s="616">
        <v>98</v>
      </c>
      <c r="K599" s="613">
        <v>98</v>
      </c>
      <c r="L599" s="616">
        <v>96</v>
      </c>
      <c r="M599" s="616">
        <v>96</v>
      </c>
      <c r="N599" s="614">
        <v>92.997799999999998</v>
      </c>
      <c r="O599" s="648"/>
      <c r="P599" s="648"/>
      <c r="R599" s="626"/>
      <c r="T599" s="633"/>
      <c r="U599" s="634"/>
    </row>
    <row r="600" spans="2:21" ht="19.149999999999999" customHeight="1">
      <c r="B600" s="606" t="s">
        <v>550</v>
      </c>
      <c r="C600" s="655">
        <v>9</v>
      </c>
      <c r="D600" s="615">
        <v>780</v>
      </c>
      <c r="E600" s="608">
        <v>781000</v>
      </c>
      <c r="F600" s="703" t="s">
        <v>1559</v>
      </c>
      <c r="G600" s="610"/>
      <c r="H600" s="610"/>
      <c r="I600" s="611" t="s">
        <v>44</v>
      </c>
      <c r="J600" s="616">
        <v>90</v>
      </c>
      <c r="K600" s="613">
        <v>103</v>
      </c>
      <c r="L600" s="616">
        <v>108</v>
      </c>
      <c r="M600" s="616">
        <v>110</v>
      </c>
      <c r="N600" s="614">
        <v>80.904560000000004</v>
      </c>
      <c r="O600" s="648"/>
      <c r="P600" s="648"/>
      <c r="R600" s="626"/>
      <c r="T600" s="633"/>
      <c r="U600" s="634"/>
    </row>
    <row r="601" spans="2:21" ht="28">
      <c r="B601" s="606" t="s">
        <v>550</v>
      </c>
      <c r="C601" s="654">
        <v>9</v>
      </c>
      <c r="D601" s="607">
        <v>781</v>
      </c>
      <c r="E601" s="608">
        <v>781000</v>
      </c>
      <c r="F601" s="703" t="s">
        <v>1611</v>
      </c>
      <c r="G601" s="610"/>
      <c r="H601" s="610"/>
      <c r="I601" s="611" t="s">
        <v>44</v>
      </c>
      <c r="J601" s="616">
        <v>200</v>
      </c>
      <c r="K601" s="613">
        <v>0</v>
      </c>
      <c r="L601" s="616">
        <v>200</v>
      </c>
      <c r="M601" s="616">
        <v>200</v>
      </c>
      <c r="N601" s="614">
        <v>17</v>
      </c>
      <c r="O601" s="648"/>
      <c r="P601" s="648"/>
      <c r="R601" s="626"/>
      <c r="T601" s="633"/>
      <c r="U601" s="634"/>
    </row>
    <row r="602" spans="2:21" ht="19.149999999999999" customHeight="1">
      <c r="B602" s="711"/>
      <c r="C602" s="712"/>
      <c r="D602" s="713"/>
      <c r="E602" s="714" t="s">
        <v>861</v>
      </c>
      <c r="F602" s="715" t="s">
        <v>9</v>
      </c>
      <c r="G602" s="716">
        <f>SUM(G591:G601)</f>
        <v>37</v>
      </c>
      <c r="H602" s="716">
        <f>SUM(H591:H601)</f>
        <v>35.292116666666665</v>
      </c>
      <c r="I602" s="717"/>
      <c r="J602" s="744">
        <f>SUM(J591:J601)</f>
        <v>8823</v>
      </c>
      <c r="K602" s="769">
        <f>SUM(K591:K601)</f>
        <v>8006</v>
      </c>
      <c r="L602" s="770">
        <f>SUM(L591:L601)</f>
        <v>9014</v>
      </c>
      <c r="M602" s="770">
        <f>SUM(M591:M601)</f>
        <v>9478</v>
      </c>
      <c r="N602" s="771">
        <f>SUM(N591:N601)</f>
        <v>7126.1882600000008</v>
      </c>
      <c r="O602" s="648"/>
      <c r="P602" s="648"/>
      <c r="R602" s="626"/>
      <c r="T602" s="633"/>
      <c r="U602" s="637"/>
    </row>
    <row r="603" spans="2:21" ht="19.149999999999999" customHeight="1">
      <c r="B603" s="704"/>
      <c r="C603" s="684"/>
      <c r="D603" s="705"/>
      <c r="E603" s="695" t="s">
        <v>10</v>
      </c>
      <c r="F603" s="687" t="s">
        <v>11</v>
      </c>
      <c r="G603" s="706"/>
      <c r="H603" s="706"/>
      <c r="I603" s="707"/>
      <c r="J603" s="690"/>
      <c r="K603" s="693"/>
      <c r="L603" s="690"/>
      <c r="M603" s="690"/>
      <c r="N603" s="708"/>
      <c r="O603" s="648"/>
      <c r="P603" s="648"/>
      <c r="R603" s="626"/>
      <c r="T603" s="633"/>
      <c r="U603" s="632"/>
    </row>
    <row r="604" spans="2:21" ht="19.149999999999999" customHeight="1">
      <c r="B604" s="606" t="s">
        <v>11</v>
      </c>
      <c r="C604" s="654">
        <v>1</v>
      </c>
      <c r="D604" s="607">
        <v>100</v>
      </c>
      <c r="E604" s="608">
        <v>782000</v>
      </c>
      <c r="F604" s="609" t="s">
        <v>1058</v>
      </c>
      <c r="G604" s="610">
        <v>2</v>
      </c>
      <c r="H604" s="610">
        <v>2</v>
      </c>
      <c r="I604" s="611" t="s">
        <v>669</v>
      </c>
      <c r="J604" s="616">
        <v>360</v>
      </c>
      <c r="K604" s="613">
        <v>340</v>
      </c>
      <c r="L604" s="616">
        <v>359</v>
      </c>
      <c r="M604" s="616">
        <v>359</v>
      </c>
      <c r="N604" s="614">
        <v>330.29851000000002</v>
      </c>
      <c r="O604" s="648"/>
      <c r="P604" s="648"/>
      <c r="R604" s="626"/>
      <c r="T604" s="633"/>
      <c r="U604" s="634"/>
    </row>
    <row r="605" spans="2:21" ht="19.149999999999999" customHeight="1">
      <c r="B605" s="606" t="s">
        <v>11</v>
      </c>
      <c r="C605" s="654">
        <v>1</v>
      </c>
      <c r="D605" s="607">
        <v>780</v>
      </c>
      <c r="E605" s="608">
        <v>782000</v>
      </c>
      <c r="F605" s="609" t="s">
        <v>1164</v>
      </c>
      <c r="G605" s="610"/>
      <c r="H605" s="610"/>
      <c r="I605" s="611" t="s">
        <v>175</v>
      </c>
      <c r="J605" s="616">
        <v>400</v>
      </c>
      <c r="K605" s="613">
        <v>400</v>
      </c>
      <c r="L605" s="616">
        <v>400</v>
      </c>
      <c r="M605" s="616">
        <v>400</v>
      </c>
      <c r="N605" s="614">
        <v>296.47012000000001</v>
      </c>
      <c r="O605" s="648"/>
      <c r="P605" s="648"/>
      <c r="R605" s="626"/>
      <c r="T605" s="633"/>
      <c r="U605" s="634"/>
    </row>
    <row r="606" spans="2:21" ht="19.149999999999999" customHeight="1">
      <c r="B606" s="617"/>
      <c r="C606" s="656"/>
      <c r="D606" s="618"/>
      <c r="E606" s="619" t="s">
        <v>10</v>
      </c>
      <c r="F606" s="620" t="s">
        <v>12</v>
      </c>
      <c r="G606" s="716">
        <f>SUM(G604:G605)</f>
        <v>2</v>
      </c>
      <c r="H606" s="716">
        <f>SUM(H604:H605)</f>
        <v>2</v>
      </c>
      <c r="I606" s="622"/>
      <c r="J606" s="623">
        <f>SUM(J603:J605)</f>
        <v>760</v>
      </c>
      <c r="K606" s="624">
        <f>SUM(K603:K605)</f>
        <v>740</v>
      </c>
      <c r="L606" s="623">
        <f>SUM(L603:L605)</f>
        <v>759</v>
      </c>
      <c r="M606" s="623">
        <f>SUM(M603:M605)</f>
        <v>759</v>
      </c>
      <c r="N606" s="625">
        <f>SUM(N603:N605)</f>
        <v>626.76863000000003</v>
      </c>
      <c r="O606" s="648"/>
      <c r="P606" s="648"/>
      <c r="R606" s="626"/>
      <c r="T606" s="633"/>
      <c r="U606" s="632"/>
    </row>
    <row r="607" spans="2:21" ht="19.149999999999999" customHeight="1">
      <c r="B607" s="617"/>
      <c r="C607" s="656"/>
      <c r="D607" s="618"/>
      <c r="E607" s="619" t="s">
        <v>860</v>
      </c>
      <c r="F607" s="620" t="s">
        <v>13</v>
      </c>
      <c r="G607" s="621">
        <f>SUMIF($E$589:$E$606,"*.",G589:G606)</f>
        <v>39</v>
      </c>
      <c r="H607" s="621">
        <f>SUMIF($E$589:$E$606,"*.",H589:H606)</f>
        <v>37.292116666666665</v>
      </c>
      <c r="I607" s="622"/>
      <c r="J607" s="623">
        <f>SUMIF($E$589:$E$606,"*.",J589:J606)</f>
        <v>9583</v>
      </c>
      <c r="K607" s="624">
        <f>SUMIF($E$589:$E$606,"*.",K589:K606)</f>
        <v>8746</v>
      </c>
      <c r="L607" s="623">
        <f>SUMIF($E$589:$E$606,"*.",L589:L606)</f>
        <v>9773</v>
      </c>
      <c r="M607" s="623">
        <f>SUMIF($E$589:$E$606,"*.",M589:M606)</f>
        <v>10237</v>
      </c>
      <c r="N607" s="625">
        <f>SUMIF($E$589:$E$606,"*.",N589:N606)</f>
        <v>7752.9568900000013</v>
      </c>
      <c r="O607" s="648"/>
      <c r="P607" s="648"/>
      <c r="R607" s="626"/>
      <c r="T607" s="633"/>
      <c r="U607" s="632"/>
    </row>
    <row r="608" spans="2:21" ht="19.149999999999999" customHeight="1">
      <c r="B608" s="704"/>
      <c r="C608" s="684"/>
      <c r="D608" s="705"/>
      <c r="E608" s="695" t="s">
        <v>253</v>
      </c>
      <c r="F608" s="687" t="s">
        <v>1135</v>
      </c>
      <c r="G608" s="706"/>
      <c r="H608" s="706"/>
      <c r="I608" s="707"/>
      <c r="J608" s="690"/>
      <c r="K608" s="693"/>
      <c r="L608" s="690"/>
      <c r="M608" s="690"/>
      <c r="N608" s="708"/>
      <c r="O608" s="648"/>
      <c r="P608" s="648"/>
      <c r="R608" s="626"/>
      <c r="T608" s="633"/>
      <c r="U608" s="632"/>
    </row>
    <row r="609" spans="2:26" ht="19.149999999999999" customHeight="1">
      <c r="B609" s="606" t="s">
        <v>1135</v>
      </c>
      <c r="C609" s="654">
        <v>7</v>
      </c>
      <c r="D609" s="607">
        <v>810</v>
      </c>
      <c r="E609" s="608">
        <v>791000</v>
      </c>
      <c r="F609" s="609" t="s">
        <v>919</v>
      </c>
      <c r="G609" s="610"/>
      <c r="H609" s="610"/>
      <c r="I609" s="611" t="s">
        <v>175</v>
      </c>
      <c r="J609" s="616">
        <v>27</v>
      </c>
      <c r="K609" s="613">
        <v>27</v>
      </c>
      <c r="L609" s="616">
        <v>70</v>
      </c>
      <c r="M609" s="616">
        <v>70</v>
      </c>
      <c r="N609" s="614">
        <v>119.989</v>
      </c>
      <c r="O609" s="648"/>
      <c r="P609" s="648"/>
      <c r="R609" s="626"/>
      <c r="T609" s="633"/>
      <c r="U609" s="634"/>
      <c r="Z609" s="216"/>
    </row>
    <row r="610" spans="2:26" ht="19.149999999999999" customHeight="1">
      <c r="B610" s="617"/>
      <c r="C610" s="656"/>
      <c r="D610" s="618"/>
      <c r="E610" s="619" t="s">
        <v>253</v>
      </c>
      <c r="F610" s="620" t="s">
        <v>405</v>
      </c>
      <c r="G610" s="621">
        <f>SUM(G609:G609)</f>
        <v>0</v>
      </c>
      <c r="H610" s="621">
        <f>SUM(H609:H609)</f>
        <v>0</v>
      </c>
      <c r="I610" s="622"/>
      <c r="J610" s="623">
        <f>SUM(J609:J609)</f>
        <v>27</v>
      </c>
      <c r="K610" s="624">
        <f>SUM(K609:K609)</f>
        <v>27</v>
      </c>
      <c r="L610" s="623">
        <f>SUM(L609:L609)</f>
        <v>70</v>
      </c>
      <c r="M610" s="623">
        <f>SUM(M609:M609)</f>
        <v>70</v>
      </c>
      <c r="N610" s="625">
        <f>SUM(N609:N609)</f>
        <v>119.989</v>
      </c>
      <c r="O610" s="648"/>
      <c r="P610" s="648"/>
      <c r="R610" s="626"/>
      <c r="T610" s="633"/>
      <c r="U610" s="632"/>
    </row>
    <row r="611" spans="2:26" ht="19.149999999999999" customHeight="1" thickBot="1">
      <c r="B611" s="772"/>
      <c r="C611" s="734"/>
      <c r="D611" s="735"/>
      <c r="E611" s="736" t="s">
        <v>388</v>
      </c>
      <c r="F611" s="737" t="s">
        <v>796</v>
      </c>
      <c r="G611" s="738">
        <f>SUMIF($E$231:$E$610,"??.",G231:G610)</f>
        <v>312.2</v>
      </c>
      <c r="H611" s="738">
        <f>SUMIF($E$231:$E$610,"??.",H231:H610)</f>
        <v>290.46123333333333</v>
      </c>
      <c r="I611" s="739"/>
      <c r="J611" s="740">
        <f>SUMIF($E$231:$E$610,"??.",J231:J610)</f>
        <v>219328</v>
      </c>
      <c r="K611" s="741">
        <f>SUMIF($E$231:$E$610,"??.",K231:K610)</f>
        <v>204569</v>
      </c>
      <c r="L611" s="740">
        <f>SUMIF($E$231:$E$610,"??.",L231:L610)</f>
        <v>210900</v>
      </c>
      <c r="M611" s="740">
        <f>SUMIF($E$231:$E$610,"??.",M231:M610)</f>
        <v>214209</v>
      </c>
      <c r="N611" s="742">
        <f>SUMIF($E$231:$E$610,"??.",N231:N610)</f>
        <v>193900.33587000001</v>
      </c>
      <c r="O611" s="648"/>
      <c r="P611" s="648"/>
      <c r="R611" s="626"/>
      <c r="T611" s="633"/>
      <c r="U611" s="632"/>
    </row>
    <row r="612" spans="2:26" ht="19.149999999999999" customHeight="1" thickTop="1">
      <c r="B612" s="704"/>
      <c r="C612" s="684"/>
      <c r="D612" s="705"/>
      <c r="E612" s="695" t="s">
        <v>389</v>
      </c>
      <c r="F612" s="687" t="s">
        <v>110</v>
      </c>
      <c r="G612" s="706"/>
      <c r="H612" s="706"/>
      <c r="I612" s="723"/>
      <c r="J612" s="690"/>
      <c r="K612" s="693"/>
      <c r="L612" s="690"/>
      <c r="M612" s="690"/>
      <c r="N612" s="708"/>
      <c r="O612" s="648"/>
      <c r="P612" s="648"/>
      <c r="R612" s="626"/>
      <c r="T612" s="633"/>
      <c r="U612" s="632"/>
    </row>
    <row r="613" spans="2:26" ht="19.149999999999999" customHeight="1">
      <c r="B613" s="704"/>
      <c r="C613" s="684"/>
      <c r="D613" s="705"/>
      <c r="E613" s="695" t="s">
        <v>1018</v>
      </c>
      <c r="F613" s="687" t="s">
        <v>112</v>
      </c>
      <c r="G613" s="706"/>
      <c r="H613" s="706"/>
      <c r="I613" s="707"/>
      <c r="J613" s="690"/>
      <c r="K613" s="693"/>
      <c r="L613" s="690"/>
      <c r="M613" s="690"/>
      <c r="N613" s="708"/>
      <c r="O613" s="648"/>
      <c r="P613" s="648"/>
      <c r="R613" s="626"/>
      <c r="T613" s="633"/>
      <c r="U613" s="632"/>
    </row>
    <row r="614" spans="2:26" ht="19.149999999999999" customHeight="1">
      <c r="B614" s="704"/>
      <c r="C614" s="684"/>
      <c r="D614" s="705"/>
      <c r="E614" s="695" t="s">
        <v>20</v>
      </c>
      <c r="F614" s="687" t="s">
        <v>1859</v>
      </c>
      <c r="G614" s="706"/>
      <c r="H614" s="706"/>
      <c r="I614" s="707"/>
      <c r="J614" s="690"/>
      <c r="K614" s="693"/>
      <c r="L614" s="690"/>
      <c r="M614" s="690"/>
      <c r="N614" s="708"/>
      <c r="O614" s="648"/>
      <c r="P614" s="648"/>
      <c r="R614" s="626"/>
      <c r="T614" s="633"/>
      <c r="U614" s="632"/>
    </row>
    <row r="615" spans="2:26" ht="19.149999999999999" customHeight="1">
      <c r="B615" s="606" t="s">
        <v>21</v>
      </c>
      <c r="C615" s="654">
        <v>81</v>
      </c>
      <c r="D615" s="607">
        <v>100</v>
      </c>
      <c r="E615" s="608">
        <v>811000</v>
      </c>
      <c r="F615" s="609" t="s">
        <v>1058</v>
      </c>
      <c r="G615" s="610">
        <v>14</v>
      </c>
      <c r="H615" s="610">
        <v>12.833333333333332</v>
      </c>
      <c r="I615" s="611" t="s">
        <v>669</v>
      </c>
      <c r="J615" s="616">
        <v>3103</v>
      </c>
      <c r="K615" s="613">
        <v>2955</v>
      </c>
      <c r="L615" s="616">
        <v>2972</v>
      </c>
      <c r="M615" s="616">
        <v>2837</v>
      </c>
      <c r="N615" s="614">
        <v>2642.3214800000001</v>
      </c>
      <c r="O615" s="648"/>
      <c r="P615" s="648"/>
      <c r="R615" s="626"/>
      <c r="T615" s="633"/>
      <c r="U615" s="634"/>
    </row>
    <row r="616" spans="2:26" ht="19.149999999999999" customHeight="1">
      <c r="B616" s="606" t="s">
        <v>21</v>
      </c>
      <c r="C616" s="654">
        <v>81</v>
      </c>
      <c r="D616" s="607">
        <v>102</v>
      </c>
      <c r="E616" s="608">
        <v>811000</v>
      </c>
      <c r="F616" s="609" t="s">
        <v>543</v>
      </c>
      <c r="G616" s="610">
        <v>7.5</v>
      </c>
      <c r="H616" s="610">
        <v>6.5</v>
      </c>
      <c r="I616" s="611" t="s">
        <v>669</v>
      </c>
      <c r="J616" s="616">
        <f>1405+70</f>
        <v>1475</v>
      </c>
      <c r="K616" s="613">
        <v>1314</v>
      </c>
      <c r="L616" s="616">
        <v>1401</v>
      </c>
      <c r="M616" s="616">
        <v>1401</v>
      </c>
      <c r="N616" s="614">
        <v>1273.8190900000002</v>
      </c>
      <c r="O616" s="648"/>
      <c r="P616" s="648"/>
      <c r="R616" s="626"/>
      <c r="T616" s="633"/>
      <c r="U616" s="634"/>
    </row>
    <row r="617" spans="2:26" ht="19.149999999999999" customHeight="1">
      <c r="B617" s="606" t="s">
        <v>21</v>
      </c>
      <c r="C617" s="654">
        <v>2</v>
      </c>
      <c r="D617" s="607">
        <v>442</v>
      </c>
      <c r="E617" s="608">
        <v>811000</v>
      </c>
      <c r="F617" s="609" t="s">
        <v>27</v>
      </c>
      <c r="G617" s="610"/>
      <c r="H617" s="610"/>
      <c r="I617" s="611" t="s">
        <v>175</v>
      </c>
      <c r="J617" s="616">
        <v>100</v>
      </c>
      <c r="K617" s="613">
        <v>50</v>
      </c>
      <c r="L617" s="616">
        <v>100</v>
      </c>
      <c r="M617" s="616">
        <v>100</v>
      </c>
      <c r="N617" s="614">
        <v>0</v>
      </c>
      <c r="O617" s="648"/>
      <c r="P617" s="648"/>
      <c r="R617" s="626"/>
      <c r="T617" s="633"/>
      <c r="U617" s="634"/>
    </row>
    <row r="618" spans="2:26" ht="19.149999999999999" customHeight="1">
      <c r="B618" s="606" t="s">
        <v>21</v>
      </c>
      <c r="C618" s="654">
        <v>81</v>
      </c>
      <c r="D618" s="607">
        <v>470</v>
      </c>
      <c r="E618" s="608">
        <v>811000</v>
      </c>
      <c r="F618" s="609" t="s">
        <v>286</v>
      </c>
      <c r="G618" s="610"/>
      <c r="H618" s="610"/>
      <c r="I618" s="611" t="s">
        <v>44</v>
      </c>
      <c r="J618" s="616">
        <v>40</v>
      </c>
      <c r="K618" s="613">
        <v>40</v>
      </c>
      <c r="L618" s="616">
        <v>28</v>
      </c>
      <c r="M618" s="616">
        <v>28</v>
      </c>
      <c r="N618" s="614">
        <v>28.043770000000002</v>
      </c>
      <c r="O618" s="648"/>
      <c r="P618" s="648"/>
      <c r="R618" s="626"/>
      <c r="T618" s="633"/>
      <c r="U618" s="634"/>
    </row>
    <row r="619" spans="2:26" ht="19.149999999999999" customHeight="1">
      <c r="B619" s="606" t="s">
        <v>21</v>
      </c>
      <c r="C619" s="654">
        <v>81</v>
      </c>
      <c r="D619" s="607">
        <v>511</v>
      </c>
      <c r="E619" s="608">
        <v>811000</v>
      </c>
      <c r="F619" s="609" t="s">
        <v>1898</v>
      </c>
      <c r="G619" s="610"/>
      <c r="H619" s="610"/>
      <c r="I619" s="611" t="s">
        <v>44</v>
      </c>
      <c r="J619" s="616">
        <f>17-1</f>
        <v>16</v>
      </c>
      <c r="K619" s="613">
        <v>16</v>
      </c>
      <c r="L619" s="616">
        <v>16</v>
      </c>
      <c r="M619" s="616">
        <v>16</v>
      </c>
      <c r="N619" s="614">
        <v>16.000070000000001</v>
      </c>
      <c r="O619" s="648"/>
      <c r="P619" s="648"/>
      <c r="R619" s="626"/>
      <c r="T619" s="633"/>
      <c r="U619" s="634"/>
    </row>
    <row r="620" spans="2:26" ht="19.149999999999999" customHeight="1">
      <c r="B620" s="606" t="s">
        <v>21</v>
      </c>
      <c r="C620" s="655">
        <v>81</v>
      </c>
      <c r="D620" s="615">
        <v>521</v>
      </c>
      <c r="E620" s="608">
        <v>811000</v>
      </c>
      <c r="F620" s="609" t="s">
        <v>1061</v>
      </c>
      <c r="G620" s="610"/>
      <c r="H620" s="610"/>
      <c r="I620" s="611" t="s">
        <v>44</v>
      </c>
      <c r="J620" s="616">
        <f>72-25</f>
        <v>47</v>
      </c>
      <c r="K620" s="613">
        <v>72</v>
      </c>
      <c r="L620" s="616">
        <v>72</v>
      </c>
      <c r="M620" s="616">
        <v>49</v>
      </c>
      <c r="N620" s="614">
        <v>59.746300000000005</v>
      </c>
      <c r="O620" s="648"/>
      <c r="P620" s="648"/>
      <c r="R620" s="626"/>
      <c r="T620" s="633"/>
      <c r="U620" s="634"/>
    </row>
    <row r="621" spans="2:26" ht="19.149999999999999" customHeight="1">
      <c r="B621" s="606" t="s">
        <v>21</v>
      </c>
      <c r="C621" s="654">
        <v>11</v>
      </c>
      <c r="D621" s="607">
        <v>523</v>
      </c>
      <c r="E621" s="608">
        <v>811000</v>
      </c>
      <c r="F621" s="703" t="s">
        <v>662</v>
      </c>
      <c r="G621" s="610"/>
      <c r="H621" s="610"/>
      <c r="I621" s="611" t="s">
        <v>175</v>
      </c>
      <c r="J621" s="616">
        <v>310</v>
      </c>
      <c r="K621" s="613">
        <v>515</v>
      </c>
      <c r="L621" s="616">
        <v>515</v>
      </c>
      <c r="M621" s="616">
        <v>515</v>
      </c>
      <c r="N621" s="614">
        <v>485.00001000000003</v>
      </c>
      <c r="O621" s="648"/>
      <c r="P621" s="648"/>
      <c r="R621" s="626"/>
      <c r="T621" s="633"/>
      <c r="U621" s="634"/>
    </row>
    <row r="622" spans="2:26" ht="19.149999999999999" customHeight="1">
      <c r="B622" s="606" t="s">
        <v>21</v>
      </c>
      <c r="C622" s="655">
        <v>10</v>
      </c>
      <c r="D622" s="615">
        <v>540</v>
      </c>
      <c r="E622" s="608">
        <v>811000</v>
      </c>
      <c r="F622" s="609" t="s">
        <v>1648</v>
      </c>
      <c r="G622" s="610"/>
      <c r="H622" s="610"/>
      <c r="I622" s="611" t="s">
        <v>175</v>
      </c>
      <c r="J622" s="616">
        <v>70</v>
      </c>
      <c r="K622" s="613">
        <v>69</v>
      </c>
      <c r="L622" s="616">
        <v>66</v>
      </c>
      <c r="M622" s="616">
        <v>80</v>
      </c>
      <c r="N622" s="614">
        <v>68.094660000000005</v>
      </c>
      <c r="O622" s="648"/>
      <c r="P622" s="648"/>
      <c r="R622" s="626"/>
      <c r="T622" s="633"/>
      <c r="U622" s="634"/>
    </row>
    <row r="623" spans="2:26" ht="19.149999999999999" customHeight="1">
      <c r="B623" s="606" t="s">
        <v>21</v>
      </c>
      <c r="C623" s="654">
        <v>12</v>
      </c>
      <c r="D623" s="607">
        <v>550</v>
      </c>
      <c r="E623" s="608">
        <v>811000</v>
      </c>
      <c r="F623" s="609" t="s">
        <v>607</v>
      </c>
      <c r="G623" s="610"/>
      <c r="H623" s="610"/>
      <c r="I623" s="611" t="s">
        <v>44</v>
      </c>
      <c r="J623" s="616">
        <v>96</v>
      </c>
      <c r="K623" s="613">
        <v>60</v>
      </c>
      <c r="L623" s="616">
        <v>96</v>
      </c>
      <c r="M623" s="616">
        <v>96</v>
      </c>
      <c r="N623" s="614">
        <v>58.427879999999995</v>
      </c>
      <c r="O623" s="648"/>
      <c r="P623" s="648"/>
      <c r="R623" s="626"/>
      <c r="T623" s="633"/>
      <c r="U623" s="634"/>
    </row>
    <row r="624" spans="2:26" ht="19.149999999999999" customHeight="1">
      <c r="B624" s="606" t="s">
        <v>21</v>
      </c>
      <c r="C624" s="654">
        <v>10</v>
      </c>
      <c r="D624" s="607">
        <v>570</v>
      </c>
      <c r="E624" s="608">
        <v>811000</v>
      </c>
      <c r="F624" s="609" t="s">
        <v>608</v>
      </c>
      <c r="G624" s="610"/>
      <c r="H624" s="610"/>
      <c r="I624" s="611" t="s">
        <v>175</v>
      </c>
      <c r="J624" s="616">
        <v>105</v>
      </c>
      <c r="K624" s="613">
        <v>105</v>
      </c>
      <c r="L624" s="616">
        <v>105</v>
      </c>
      <c r="M624" s="616">
        <v>105</v>
      </c>
      <c r="N624" s="614">
        <v>92.237030000000004</v>
      </c>
      <c r="O624" s="648"/>
      <c r="P624" s="648"/>
      <c r="R624" s="626"/>
      <c r="T624" s="633"/>
      <c r="U624" s="634"/>
    </row>
    <row r="625" spans="2:21" ht="19.149999999999999" customHeight="1">
      <c r="B625" s="606" t="s">
        <v>21</v>
      </c>
      <c r="C625" s="654">
        <v>81</v>
      </c>
      <c r="D625" s="607">
        <v>562</v>
      </c>
      <c r="E625" s="608">
        <v>811000</v>
      </c>
      <c r="F625" s="609" t="s">
        <v>1680</v>
      </c>
      <c r="G625" s="610"/>
      <c r="H625" s="610"/>
      <c r="I625" s="611" t="s">
        <v>44</v>
      </c>
      <c r="J625" s="616">
        <v>24</v>
      </c>
      <c r="K625" s="613">
        <v>24</v>
      </c>
      <c r="L625" s="616">
        <v>24</v>
      </c>
      <c r="M625" s="616">
        <v>24</v>
      </c>
      <c r="N625" s="614">
        <v>22.256</v>
      </c>
      <c r="O625" s="648"/>
      <c r="P625" s="648"/>
      <c r="R625" s="626"/>
      <c r="T625" s="633"/>
      <c r="U625" s="634"/>
    </row>
    <row r="626" spans="2:21" ht="19.149999999999999" customHeight="1">
      <c r="B626" s="606" t="s">
        <v>21</v>
      </c>
      <c r="C626" s="654">
        <v>5</v>
      </c>
      <c r="D626" s="607">
        <v>730</v>
      </c>
      <c r="E626" s="608">
        <v>811000</v>
      </c>
      <c r="F626" s="703" t="s">
        <v>1612</v>
      </c>
      <c r="G626" s="610"/>
      <c r="H626" s="610"/>
      <c r="I626" s="611" t="s">
        <v>175</v>
      </c>
      <c r="J626" s="616">
        <v>65</v>
      </c>
      <c r="K626" s="613">
        <v>57</v>
      </c>
      <c r="L626" s="616">
        <v>32</v>
      </c>
      <c r="M626" s="616">
        <v>32</v>
      </c>
      <c r="N626" s="614">
        <v>32.989059999999995</v>
      </c>
      <c r="O626" s="648"/>
      <c r="P626" s="648"/>
      <c r="R626" s="626"/>
      <c r="T626" s="633"/>
      <c r="U626" s="634"/>
    </row>
    <row r="627" spans="2:21" ht="19.149999999999999" customHeight="1">
      <c r="B627" s="606" t="s">
        <v>21</v>
      </c>
      <c r="C627" s="654">
        <v>5</v>
      </c>
      <c r="D627" s="607">
        <v>742</v>
      </c>
      <c r="E627" s="608">
        <v>811000</v>
      </c>
      <c r="F627" s="710" t="s">
        <v>683</v>
      </c>
      <c r="G627" s="610"/>
      <c r="H627" s="610"/>
      <c r="I627" s="611" t="s">
        <v>175</v>
      </c>
      <c r="J627" s="616">
        <v>3</v>
      </c>
      <c r="K627" s="613">
        <v>3</v>
      </c>
      <c r="L627" s="616">
        <v>6</v>
      </c>
      <c r="M627" s="616">
        <v>6</v>
      </c>
      <c r="N627" s="614">
        <v>2.12548</v>
      </c>
      <c r="O627" s="648"/>
      <c r="P627" s="648"/>
      <c r="R627" s="626"/>
      <c r="T627" s="633"/>
      <c r="U627" s="634"/>
    </row>
    <row r="628" spans="2:21" ht="19.149999999999999" customHeight="1">
      <c r="B628" s="606" t="s">
        <v>21</v>
      </c>
      <c r="C628" s="654">
        <v>5</v>
      </c>
      <c r="D628" s="607">
        <v>747</v>
      </c>
      <c r="E628" s="608">
        <v>811000</v>
      </c>
      <c r="F628" s="724" t="s">
        <v>729</v>
      </c>
      <c r="G628" s="610"/>
      <c r="H628" s="610"/>
      <c r="I628" s="611" t="s">
        <v>175</v>
      </c>
      <c r="J628" s="616">
        <v>0</v>
      </c>
      <c r="K628" s="613">
        <v>0</v>
      </c>
      <c r="L628" s="616">
        <v>0</v>
      </c>
      <c r="M628" s="616">
        <v>100</v>
      </c>
      <c r="N628" s="614">
        <v>98.365320000000011</v>
      </c>
      <c r="O628" s="648"/>
      <c r="P628" s="648"/>
      <c r="R628" s="626"/>
      <c r="T628" s="633"/>
      <c r="U628" s="634"/>
    </row>
    <row r="629" spans="2:21" ht="28">
      <c r="B629" s="606" t="s">
        <v>21</v>
      </c>
      <c r="C629" s="654">
        <v>5</v>
      </c>
      <c r="D629" s="773">
        <v>751</v>
      </c>
      <c r="E629" s="608">
        <v>811000</v>
      </c>
      <c r="F629" s="710" t="s">
        <v>2313</v>
      </c>
      <c r="G629" s="610"/>
      <c r="H629" s="610"/>
      <c r="I629" s="611" t="s">
        <v>175</v>
      </c>
      <c r="J629" s="616">
        <f>58-38-20</f>
        <v>0</v>
      </c>
      <c r="K629" s="613">
        <v>37</v>
      </c>
      <c r="L629" s="616">
        <v>37</v>
      </c>
      <c r="M629" s="616">
        <v>37</v>
      </c>
      <c r="N629" s="614">
        <v>37.364699999999999</v>
      </c>
      <c r="O629" s="648"/>
      <c r="P629" s="648"/>
      <c r="R629" s="626"/>
      <c r="T629" s="633"/>
      <c r="U629" s="634"/>
    </row>
    <row r="630" spans="2:21" ht="19.149999999999999" customHeight="1">
      <c r="B630" s="606" t="s">
        <v>21</v>
      </c>
      <c r="C630" s="655">
        <v>81</v>
      </c>
      <c r="D630" s="774">
        <v>752</v>
      </c>
      <c r="E630" s="608">
        <v>811000</v>
      </c>
      <c r="F630" s="710" t="s">
        <v>1299</v>
      </c>
      <c r="G630" s="610"/>
      <c r="H630" s="610"/>
      <c r="I630" s="611" t="s">
        <v>44</v>
      </c>
      <c r="J630" s="616">
        <v>72</v>
      </c>
      <c r="K630" s="613">
        <v>72</v>
      </c>
      <c r="L630" s="616">
        <v>72</v>
      </c>
      <c r="M630" s="616">
        <v>75</v>
      </c>
      <c r="N630" s="614">
        <v>51.450499999999998</v>
      </c>
      <c r="O630" s="648"/>
      <c r="P630" s="648"/>
      <c r="R630" s="626"/>
      <c r="T630" s="633"/>
      <c r="U630" s="634"/>
    </row>
    <row r="631" spans="2:21" ht="19.149999999999999" customHeight="1">
      <c r="B631" s="606" t="s">
        <v>21</v>
      </c>
      <c r="C631" s="654">
        <v>81</v>
      </c>
      <c r="D631" s="773">
        <v>755</v>
      </c>
      <c r="E631" s="608">
        <v>811000</v>
      </c>
      <c r="F631" s="710" t="s">
        <v>616</v>
      </c>
      <c r="G631" s="610"/>
      <c r="H631" s="610"/>
      <c r="I631" s="611" t="s">
        <v>44</v>
      </c>
      <c r="J631" s="616">
        <v>0</v>
      </c>
      <c r="K631" s="613">
        <v>0</v>
      </c>
      <c r="L631" s="616">
        <v>10</v>
      </c>
      <c r="M631" s="616">
        <v>10</v>
      </c>
      <c r="N631" s="614">
        <v>10.093999999999999</v>
      </c>
      <c r="O631" s="648"/>
      <c r="P631" s="648"/>
      <c r="R631" s="626"/>
      <c r="T631" s="633"/>
      <c r="U631" s="634"/>
    </row>
    <row r="632" spans="2:21" ht="19.149999999999999" customHeight="1">
      <c r="B632" s="606" t="s">
        <v>21</v>
      </c>
      <c r="C632" s="654">
        <v>81</v>
      </c>
      <c r="D632" s="607">
        <v>780</v>
      </c>
      <c r="E632" s="608">
        <v>811000</v>
      </c>
      <c r="F632" s="609" t="s">
        <v>646</v>
      </c>
      <c r="G632" s="610"/>
      <c r="H632" s="610"/>
      <c r="I632" s="611" t="s">
        <v>44</v>
      </c>
      <c r="J632" s="616">
        <v>15</v>
      </c>
      <c r="K632" s="613">
        <v>15</v>
      </c>
      <c r="L632" s="616">
        <v>15</v>
      </c>
      <c r="M632" s="616">
        <v>15</v>
      </c>
      <c r="N632" s="614">
        <v>9.4369200000000006</v>
      </c>
      <c r="O632" s="648"/>
      <c r="P632" s="648"/>
      <c r="R632" s="626"/>
      <c r="T632" s="633"/>
      <c r="U632" s="634"/>
    </row>
    <row r="633" spans="2:21" ht="19.149999999999999" customHeight="1">
      <c r="B633" s="606" t="s">
        <v>21</v>
      </c>
      <c r="C633" s="655">
        <v>81</v>
      </c>
      <c r="D633" s="615">
        <v>781</v>
      </c>
      <c r="E633" s="608">
        <v>811000</v>
      </c>
      <c r="F633" s="609" t="s">
        <v>1376</v>
      </c>
      <c r="G633" s="610"/>
      <c r="H633" s="610"/>
      <c r="I633" s="611" t="s">
        <v>44</v>
      </c>
      <c r="J633" s="616">
        <v>24</v>
      </c>
      <c r="K633" s="613">
        <v>0</v>
      </c>
      <c r="L633" s="616">
        <v>0</v>
      </c>
      <c r="M633" s="616">
        <v>25</v>
      </c>
      <c r="N633" s="614">
        <v>23.346900000000002</v>
      </c>
      <c r="O633" s="648"/>
      <c r="P633" s="648"/>
      <c r="R633" s="626"/>
      <c r="T633" s="633"/>
      <c r="U633" s="634"/>
    </row>
    <row r="634" spans="2:21" ht="19.149999999999999" customHeight="1">
      <c r="B634" s="606" t="s">
        <v>21</v>
      </c>
      <c r="C634" s="655">
        <v>81</v>
      </c>
      <c r="D634" s="615">
        <v>784</v>
      </c>
      <c r="E634" s="608">
        <v>811000</v>
      </c>
      <c r="F634" s="750" t="s">
        <v>2320</v>
      </c>
      <c r="G634" s="610"/>
      <c r="H634" s="610"/>
      <c r="I634" s="611" t="s">
        <v>44</v>
      </c>
      <c r="J634" s="616">
        <v>2455</v>
      </c>
      <c r="K634" s="613">
        <v>0</v>
      </c>
      <c r="L634" s="616">
        <v>0</v>
      </c>
      <c r="M634" s="616">
        <f>3675-190</f>
        <v>3485</v>
      </c>
      <c r="N634" s="614">
        <v>82.062529999999995</v>
      </c>
      <c r="O634" s="648"/>
      <c r="P634" s="648"/>
      <c r="R634" s="626"/>
      <c r="T634" s="633"/>
      <c r="U634" s="634"/>
    </row>
    <row r="635" spans="2:21" ht="19.149999999999999" customHeight="1">
      <c r="B635" s="606" t="s">
        <v>21</v>
      </c>
      <c r="C635" s="654">
        <v>81</v>
      </c>
      <c r="D635" s="607">
        <v>930</v>
      </c>
      <c r="E635" s="608">
        <v>811000</v>
      </c>
      <c r="F635" s="609" t="s">
        <v>611</v>
      </c>
      <c r="G635" s="610"/>
      <c r="H635" s="610"/>
      <c r="I635" s="611" t="s">
        <v>44</v>
      </c>
      <c r="J635" s="616">
        <v>10</v>
      </c>
      <c r="K635" s="613">
        <v>10</v>
      </c>
      <c r="L635" s="616">
        <v>10</v>
      </c>
      <c r="M635" s="616">
        <v>10</v>
      </c>
      <c r="N635" s="614">
        <v>8.0441099999999999</v>
      </c>
      <c r="O635" s="648"/>
      <c r="P635" s="648"/>
      <c r="R635" s="626"/>
      <c r="T635" s="633"/>
      <c r="U635" s="634"/>
    </row>
    <row r="636" spans="2:21" ht="19.149999999999999" customHeight="1">
      <c r="B636" s="606" t="s">
        <v>21</v>
      </c>
      <c r="C636" s="655">
        <v>81</v>
      </c>
      <c r="D636" s="615">
        <v>950</v>
      </c>
      <c r="E636" s="608">
        <v>811000</v>
      </c>
      <c r="F636" s="609" t="s">
        <v>1283</v>
      </c>
      <c r="G636" s="610"/>
      <c r="H636" s="610"/>
      <c r="I636" s="611" t="s">
        <v>175</v>
      </c>
      <c r="J636" s="616">
        <v>110</v>
      </c>
      <c r="K636" s="613">
        <v>95</v>
      </c>
      <c r="L636" s="616">
        <v>95</v>
      </c>
      <c r="M636" s="616">
        <v>110</v>
      </c>
      <c r="N636" s="614">
        <v>109.99832000000001</v>
      </c>
      <c r="O636" s="648"/>
      <c r="P636" s="648"/>
      <c r="R636" s="626"/>
      <c r="T636" s="633"/>
      <c r="U636" s="634"/>
    </row>
    <row r="637" spans="2:21" ht="19.149999999999999" customHeight="1">
      <c r="B637" s="606" t="s">
        <v>21</v>
      </c>
      <c r="C637" s="655">
        <v>81</v>
      </c>
      <c r="D637" s="615">
        <v>960</v>
      </c>
      <c r="E637" s="608">
        <v>811000</v>
      </c>
      <c r="F637" s="609" t="s">
        <v>8</v>
      </c>
      <c r="G637" s="610"/>
      <c r="H637" s="610"/>
      <c r="I637" s="611" t="s">
        <v>44</v>
      </c>
      <c r="J637" s="616">
        <v>239</v>
      </c>
      <c r="K637" s="613">
        <v>239</v>
      </c>
      <c r="L637" s="616">
        <v>239</v>
      </c>
      <c r="M637" s="616">
        <v>298</v>
      </c>
      <c r="N637" s="614">
        <v>285.02191999999997</v>
      </c>
      <c r="O637" s="648"/>
      <c r="P637" s="648"/>
      <c r="R637" s="626"/>
      <c r="T637" s="633"/>
      <c r="U637" s="634"/>
    </row>
    <row r="638" spans="2:21" ht="19.149999999999999" customHeight="1">
      <c r="B638" s="606" t="s">
        <v>21</v>
      </c>
      <c r="C638" s="655">
        <v>81</v>
      </c>
      <c r="D638" s="615">
        <v>961</v>
      </c>
      <c r="E638" s="608">
        <v>811000</v>
      </c>
      <c r="F638" s="724" t="s">
        <v>1042</v>
      </c>
      <c r="G638" s="610"/>
      <c r="H638" s="610"/>
      <c r="I638" s="611" t="s">
        <v>44</v>
      </c>
      <c r="J638" s="616">
        <v>44</v>
      </c>
      <c r="K638" s="613">
        <v>46</v>
      </c>
      <c r="L638" s="616">
        <v>46</v>
      </c>
      <c r="M638" s="616">
        <v>48</v>
      </c>
      <c r="N638" s="614">
        <v>48</v>
      </c>
      <c r="O638" s="648"/>
      <c r="P638" s="648"/>
      <c r="R638" s="626"/>
      <c r="T638" s="633"/>
      <c r="U638" s="634"/>
    </row>
    <row r="639" spans="2:21" ht="19.149999999999999" customHeight="1">
      <c r="B639" s="749"/>
      <c r="C639" s="712"/>
      <c r="D639" s="713"/>
      <c r="E639" s="714" t="s">
        <v>20</v>
      </c>
      <c r="F639" s="715" t="s">
        <v>2280</v>
      </c>
      <c r="G639" s="716">
        <f>SUM(G615:G638)</f>
        <v>21.5</v>
      </c>
      <c r="H639" s="716">
        <f>SUM(H615:H638)</f>
        <v>19.333333333333332</v>
      </c>
      <c r="I639" s="717"/>
      <c r="J639" s="718">
        <f>SUM(J615:J638)</f>
        <v>8423</v>
      </c>
      <c r="K639" s="719">
        <f>SUM(K615:K638)</f>
        <v>5794</v>
      </c>
      <c r="L639" s="718">
        <f>SUM(L615:L638)</f>
        <v>5957</v>
      </c>
      <c r="M639" s="718">
        <f>SUM(M615:M638)</f>
        <v>9502</v>
      </c>
      <c r="N639" s="720">
        <f>SUM(N615:N638)</f>
        <v>5544.2460499999997</v>
      </c>
      <c r="O639" s="648"/>
      <c r="P639" s="648"/>
      <c r="R639" s="626"/>
      <c r="T639" s="633"/>
      <c r="U639" s="632"/>
    </row>
    <row r="640" spans="2:21" ht="19.149999999999999" customHeight="1">
      <c r="B640" s="704"/>
      <c r="C640" s="684"/>
      <c r="D640" s="705"/>
      <c r="E640" s="695" t="s">
        <v>766</v>
      </c>
      <c r="F640" s="687" t="s">
        <v>767</v>
      </c>
      <c r="G640" s="706"/>
      <c r="H640" s="706"/>
      <c r="I640" s="707"/>
      <c r="J640" s="690"/>
      <c r="K640" s="693"/>
      <c r="L640" s="690"/>
      <c r="M640" s="690"/>
      <c r="N640" s="708"/>
      <c r="O640" s="648"/>
      <c r="P640" s="648"/>
      <c r="R640" s="626"/>
      <c r="T640" s="633"/>
      <c r="U640" s="632"/>
    </row>
    <row r="641" spans="2:26" ht="19.149999999999999" customHeight="1">
      <c r="B641" s="606" t="s">
        <v>767</v>
      </c>
      <c r="C641" s="655">
        <v>81</v>
      </c>
      <c r="D641" s="615">
        <v>310</v>
      </c>
      <c r="E641" s="608">
        <v>811900</v>
      </c>
      <c r="F641" s="609" t="s">
        <v>826</v>
      </c>
      <c r="G641" s="610">
        <v>181.93</v>
      </c>
      <c r="H641" s="610">
        <v>181.93220000000002</v>
      </c>
      <c r="I641" s="611" t="s">
        <v>669</v>
      </c>
      <c r="J641" s="616">
        <f>22500*1.007+700+500-158-500+500+0.5</f>
        <v>23699.999999999996</v>
      </c>
      <c r="K641" s="613">
        <f>21500+1000-500</f>
        <v>22000</v>
      </c>
      <c r="L641" s="616">
        <v>23150</v>
      </c>
      <c r="M641" s="616">
        <v>23500</v>
      </c>
      <c r="N641" s="614">
        <v>20904.797579999999</v>
      </c>
      <c r="O641" s="648"/>
      <c r="P641" s="648"/>
      <c r="R641" s="626"/>
      <c r="T641" s="633"/>
      <c r="U641" s="634"/>
      <c r="Z641" s="216"/>
    </row>
    <row r="642" spans="2:26" ht="19.149999999999999" customHeight="1">
      <c r="B642" s="606" t="s">
        <v>767</v>
      </c>
      <c r="C642" s="655">
        <v>81</v>
      </c>
      <c r="D642" s="615">
        <v>320</v>
      </c>
      <c r="E642" s="608">
        <v>811900</v>
      </c>
      <c r="F642" s="609" t="s">
        <v>827</v>
      </c>
      <c r="G642" s="610">
        <v>0</v>
      </c>
      <c r="H642" s="610">
        <v>0</v>
      </c>
      <c r="I642" s="611" t="s">
        <v>669</v>
      </c>
      <c r="J642" s="616">
        <f>3450*1.3+15-500</f>
        <v>4000</v>
      </c>
      <c r="K642" s="613">
        <f>3450</f>
        <v>3450</v>
      </c>
      <c r="L642" s="616">
        <v>3450</v>
      </c>
      <c r="M642" s="616">
        <v>4000</v>
      </c>
      <c r="N642" s="614">
        <v>2634.4057400000002</v>
      </c>
      <c r="O642" s="648"/>
      <c r="P642" s="648"/>
      <c r="R642" s="626"/>
      <c r="T642" s="633"/>
      <c r="U642" s="634"/>
      <c r="Z642" s="216"/>
    </row>
    <row r="643" spans="2:26" ht="14">
      <c r="B643" s="747"/>
      <c r="C643" s="656"/>
      <c r="D643" s="618"/>
      <c r="E643" s="619" t="s">
        <v>766</v>
      </c>
      <c r="F643" s="620" t="s">
        <v>643</v>
      </c>
      <c r="G643" s="621">
        <f>SUM(G641:G642)</f>
        <v>181.93</v>
      </c>
      <c r="H643" s="621">
        <f>SUM(H641:H642)</f>
        <v>181.93220000000002</v>
      </c>
      <c r="I643" s="622"/>
      <c r="J643" s="623">
        <f>SUM(J641:J642)</f>
        <v>27699.999999999996</v>
      </c>
      <c r="K643" s="624">
        <f>SUM(K641:K642)</f>
        <v>25450</v>
      </c>
      <c r="L643" s="623">
        <f>SUM(L641:L642)</f>
        <v>26600</v>
      </c>
      <c r="M643" s="623">
        <f>SUM(M641:M642)</f>
        <v>27500</v>
      </c>
      <c r="N643" s="625">
        <f>SUM(N641:N642)</f>
        <v>23539.203320000001</v>
      </c>
      <c r="O643" s="648"/>
      <c r="P643" s="648"/>
      <c r="R643" s="626"/>
      <c r="T643" s="633"/>
      <c r="U643" s="632"/>
    </row>
    <row r="644" spans="2:26" ht="19.149999999999999" customHeight="1">
      <c r="B644" s="704"/>
      <c r="C644" s="684"/>
      <c r="D644" s="705"/>
      <c r="E644" s="695" t="s">
        <v>197</v>
      </c>
      <c r="F644" s="687" t="s">
        <v>198</v>
      </c>
      <c r="G644" s="706"/>
      <c r="H644" s="706"/>
      <c r="I644" s="707"/>
      <c r="J644" s="690"/>
      <c r="K644" s="693"/>
      <c r="L644" s="690"/>
      <c r="M644" s="690"/>
      <c r="N644" s="708"/>
      <c r="O644" s="648"/>
      <c r="P644" s="648"/>
      <c r="R644" s="626"/>
      <c r="T644" s="633"/>
      <c r="U644" s="632"/>
    </row>
    <row r="645" spans="2:26" ht="28">
      <c r="B645" s="606" t="s">
        <v>313</v>
      </c>
      <c r="C645" s="654">
        <v>81</v>
      </c>
      <c r="D645" s="607">
        <v>100</v>
      </c>
      <c r="E645" s="608">
        <v>812000</v>
      </c>
      <c r="F645" s="609" t="s">
        <v>1629</v>
      </c>
      <c r="G645" s="610">
        <v>185.74</v>
      </c>
      <c r="H645" s="610">
        <v>176.91020000000003</v>
      </c>
      <c r="I645" s="611" t="s">
        <v>669</v>
      </c>
      <c r="J645" s="616">
        <v>22943</v>
      </c>
      <c r="K645" s="613">
        <v>21907</v>
      </c>
      <c r="L645" s="616">
        <v>22088</v>
      </c>
      <c r="M645" s="616">
        <v>22198</v>
      </c>
      <c r="N645" s="614">
        <v>20026.796829999999</v>
      </c>
      <c r="O645" s="648"/>
      <c r="P645" s="648"/>
      <c r="R645" s="626"/>
      <c r="T645" s="633"/>
      <c r="U645" s="634"/>
    </row>
    <row r="646" spans="2:26" ht="19.149999999999999" customHeight="1">
      <c r="B646" s="606" t="s">
        <v>313</v>
      </c>
      <c r="C646" s="654">
        <v>81</v>
      </c>
      <c r="D646" s="607">
        <v>101</v>
      </c>
      <c r="E646" s="608">
        <v>812000</v>
      </c>
      <c r="F646" s="609" t="s">
        <v>28</v>
      </c>
      <c r="G646" s="610">
        <v>6</v>
      </c>
      <c r="H646" s="610">
        <v>6</v>
      </c>
      <c r="I646" s="611" t="s">
        <v>669</v>
      </c>
      <c r="J646" s="616">
        <v>1123</v>
      </c>
      <c r="K646" s="613">
        <v>1097</v>
      </c>
      <c r="L646" s="616">
        <v>1110</v>
      </c>
      <c r="M646" s="616">
        <v>1110</v>
      </c>
      <c r="N646" s="614">
        <v>1089.1334099999999</v>
      </c>
      <c r="O646" s="648"/>
      <c r="P646" s="648"/>
      <c r="R646" s="626"/>
      <c r="T646" s="633"/>
      <c r="U646" s="634"/>
    </row>
    <row r="647" spans="2:26" ht="18.649999999999999" customHeight="1">
      <c r="B647" s="606" t="s">
        <v>313</v>
      </c>
      <c r="C647" s="654">
        <v>81</v>
      </c>
      <c r="D647" s="607">
        <v>102</v>
      </c>
      <c r="E647" s="608">
        <v>812000</v>
      </c>
      <c r="F647" s="609" t="s">
        <v>235</v>
      </c>
      <c r="G647" s="610">
        <v>34.020000000000003</v>
      </c>
      <c r="H647" s="610">
        <v>28.203466666666667</v>
      </c>
      <c r="I647" s="611" t="s">
        <v>669</v>
      </c>
      <c r="J647" s="616">
        <v>4212</v>
      </c>
      <c r="K647" s="613">
        <v>3816</v>
      </c>
      <c r="L647" s="616">
        <v>3798</v>
      </c>
      <c r="M647" s="616">
        <v>3798</v>
      </c>
      <c r="N647" s="614">
        <v>3290.1298199999997</v>
      </c>
      <c r="O647" s="648"/>
      <c r="P647" s="648"/>
      <c r="R647" s="626"/>
      <c r="T647" s="633"/>
      <c r="U647" s="634"/>
    </row>
    <row r="648" spans="2:26" ht="21.5">
      <c r="B648" s="606" t="s">
        <v>313</v>
      </c>
      <c r="C648" s="654">
        <v>81</v>
      </c>
      <c r="D648" s="607">
        <v>103</v>
      </c>
      <c r="E648" s="608">
        <v>812000</v>
      </c>
      <c r="F648" s="609" t="s">
        <v>1998</v>
      </c>
      <c r="G648" s="610">
        <v>23.8</v>
      </c>
      <c r="H648" s="610">
        <v>19.686783333333334</v>
      </c>
      <c r="I648" s="611" t="s">
        <v>669</v>
      </c>
      <c r="J648" s="616">
        <v>2757</v>
      </c>
      <c r="K648" s="613">
        <v>2364</v>
      </c>
      <c r="L648" s="616">
        <v>2168</v>
      </c>
      <c r="M648" s="616">
        <v>1968</v>
      </c>
      <c r="N648" s="614">
        <v>1909.0106000000001</v>
      </c>
      <c r="O648" s="648"/>
      <c r="P648" s="648"/>
      <c r="R648" s="626"/>
      <c r="T648" s="633"/>
      <c r="U648" s="634"/>
    </row>
    <row r="649" spans="2:26" ht="28">
      <c r="B649" s="606" t="s">
        <v>313</v>
      </c>
      <c r="C649" s="654">
        <v>81</v>
      </c>
      <c r="D649" s="607">
        <v>104</v>
      </c>
      <c r="E649" s="608">
        <v>812000</v>
      </c>
      <c r="F649" s="609" t="s">
        <v>1999</v>
      </c>
      <c r="G649" s="610">
        <v>26.25</v>
      </c>
      <c r="H649" s="610">
        <v>26.382050000000003</v>
      </c>
      <c r="I649" s="611" t="s">
        <v>669</v>
      </c>
      <c r="J649" s="616">
        <v>2916</v>
      </c>
      <c r="K649" s="613">
        <v>3050</v>
      </c>
      <c r="L649" s="616">
        <v>3495</v>
      </c>
      <c r="M649" s="616">
        <v>3695</v>
      </c>
      <c r="N649" s="614">
        <v>3051.5267899999999</v>
      </c>
      <c r="O649" s="648"/>
      <c r="P649" s="648"/>
      <c r="R649" s="626"/>
      <c r="T649" s="633"/>
      <c r="U649" s="634"/>
    </row>
    <row r="650" spans="2:26" ht="19.149999999999999" customHeight="1">
      <c r="B650" s="606" t="s">
        <v>313</v>
      </c>
      <c r="C650" s="654">
        <v>81</v>
      </c>
      <c r="D650" s="607">
        <v>106</v>
      </c>
      <c r="E650" s="608">
        <v>812000</v>
      </c>
      <c r="F650" s="609" t="s">
        <v>1715</v>
      </c>
      <c r="G650" s="610">
        <v>48.6</v>
      </c>
      <c r="H650" s="610">
        <v>29.826316666666667</v>
      </c>
      <c r="I650" s="611" t="s">
        <v>669</v>
      </c>
      <c r="J650" s="616">
        <f>4931+210</f>
        <v>5141</v>
      </c>
      <c r="K650" s="613">
        <v>3793</v>
      </c>
      <c r="L650" s="616">
        <v>3698</v>
      </c>
      <c r="M650" s="616">
        <v>3698</v>
      </c>
      <c r="N650" s="614">
        <v>3124.8917299999998</v>
      </c>
      <c r="O650" s="648"/>
      <c r="P650" s="648"/>
      <c r="R650" s="626"/>
      <c r="T650" s="633"/>
      <c r="U650" s="634"/>
      <c r="Y650" s="633"/>
    </row>
    <row r="651" spans="2:26" ht="28">
      <c r="B651" s="606" t="s">
        <v>313</v>
      </c>
      <c r="C651" s="654">
        <v>81</v>
      </c>
      <c r="D651" s="607">
        <v>107</v>
      </c>
      <c r="E651" s="608">
        <v>812000</v>
      </c>
      <c r="F651" s="775" t="s">
        <v>1699</v>
      </c>
      <c r="G651" s="610">
        <v>6</v>
      </c>
      <c r="H651" s="610">
        <v>5.2341833333333341</v>
      </c>
      <c r="I651" s="611" t="s">
        <v>669</v>
      </c>
      <c r="J651" s="616">
        <f>795-261</f>
        <v>534</v>
      </c>
      <c r="K651" s="613">
        <v>645</v>
      </c>
      <c r="L651" s="616">
        <v>645</v>
      </c>
      <c r="M651" s="616">
        <v>453</v>
      </c>
      <c r="N651" s="614">
        <v>731.10804000000007</v>
      </c>
      <c r="O651" s="648"/>
      <c r="P651" s="648"/>
      <c r="R651" s="626"/>
      <c r="T651" s="633"/>
      <c r="U651" s="634"/>
    </row>
    <row r="652" spans="2:26" ht="19.149999999999999" customHeight="1">
      <c r="B652" s="606" t="s">
        <v>313</v>
      </c>
      <c r="C652" s="654">
        <v>81</v>
      </c>
      <c r="D652" s="607">
        <v>430</v>
      </c>
      <c r="E652" s="608">
        <v>812000</v>
      </c>
      <c r="F652" s="609" t="s">
        <v>192</v>
      </c>
      <c r="G652" s="610"/>
      <c r="H652" s="610"/>
      <c r="I652" s="611" t="s">
        <v>175</v>
      </c>
      <c r="J652" s="616">
        <v>992</v>
      </c>
      <c r="K652" s="613">
        <v>846</v>
      </c>
      <c r="L652" s="616">
        <v>882</v>
      </c>
      <c r="M652" s="616">
        <v>882</v>
      </c>
      <c r="N652" s="614">
        <v>903.10305000000005</v>
      </c>
      <c r="O652" s="648"/>
      <c r="P652" s="648"/>
      <c r="R652" s="626"/>
      <c r="T652" s="633"/>
      <c r="U652" s="634"/>
    </row>
    <row r="653" spans="2:26" ht="19.149999999999999" customHeight="1">
      <c r="B653" s="606" t="s">
        <v>313</v>
      </c>
      <c r="C653" s="654">
        <v>81</v>
      </c>
      <c r="D653" s="607">
        <v>432</v>
      </c>
      <c r="E653" s="608">
        <v>812000</v>
      </c>
      <c r="F653" s="609" t="s">
        <v>103</v>
      </c>
      <c r="G653" s="610"/>
      <c r="H653" s="610"/>
      <c r="I653" s="611" t="s">
        <v>175</v>
      </c>
      <c r="J653" s="616">
        <v>719</v>
      </c>
      <c r="K653" s="613">
        <v>634</v>
      </c>
      <c r="L653" s="616">
        <v>634</v>
      </c>
      <c r="M653" s="616">
        <v>634</v>
      </c>
      <c r="N653" s="614">
        <v>695.31640000000004</v>
      </c>
      <c r="O653" s="648"/>
      <c r="P653" s="648"/>
      <c r="R653" s="626"/>
      <c r="T653" s="633"/>
      <c r="U653" s="634"/>
    </row>
    <row r="654" spans="2:26" ht="19.149999999999999" customHeight="1">
      <c r="B654" s="606" t="s">
        <v>313</v>
      </c>
      <c r="C654" s="655">
        <v>81</v>
      </c>
      <c r="D654" s="615">
        <v>511</v>
      </c>
      <c r="E654" s="608">
        <v>812000</v>
      </c>
      <c r="F654" s="609" t="s">
        <v>1682</v>
      </c>
      <c r="G654" s="610"/>
      <c r="H654" s="610"/>
      <c r="I654" s="611" t="s">
        <v>44</v>
      </c>
      <c r="J654" s="616">
        <v>77</v>
      </c>
      <c r="K654" s="613">
        <v>58</v>
      </c>
      <c r="L654" s="616">
        <v>58</v>
      </c>
      <c r="M654" s="616">
        <v>61</v>
      </c>
      <c r="N654" s="614">
        <v>57.51305</v>
      </c>
      <c r="O654" s="648"/>
      <c r="P654" s="648"/>
      <c r="R654" s="626"/>
      <c r="T654" s="633"/>
      <c r="U654" s="634"/>
    </row>
    <row r="655" spans="2:26" ht="19.149999999999999" customHeight="1">
      <c r="B655" s="606" t="s">
        <v>313</v>
      </c>
      <c r="C655" s="654">
        <v>10</v>
      </c>
      <c r="D655" s="607">
        <v>540</v>
      </c>
      <c r="E655" s="608">
        <v>812000</v>
      </c>
      <c r="F655" s="609" t="s">
        <v>1648</v>
      </c>
      <c r="G655" s="610"/>
      <c r="H655" s="610"/>
      <c r="I655" s="611" t="s">
        <v>175</v>
      </c>
      <c r="J655" s="616">
        <v>312</v>
      </c>
      <c r="K655" s="613">
        <v>312</v>
      </c>
      <c r="L655" s="616">
        <v>307</v>
      </c>
      <c r="M655" s="616">
        <v>300</v>
      </c>
      <c r="N655" s="614">
        <v>310.11053000000004</v>
      </c>
      <c r="O655" s="648"/>
      <c r="P655" s="648"/>
      <c r="R655" s="626"/>
      <c r="T655" s="633"/>
      <c r="U655" s="634"/>
    </row>
    <row r="656" spans="2:26" ht="19.149999999999999" customHeight="1">
      <c r="B656" s="606" t="s">
        <v>313</v>
      </c>
      <c r="C656" s="654">
        <v>12</v>
      </c>
      <c r="D656" s="607">
        <v>550</v>
      </c>
      <c r="E656" s="608">
        <v>812000</v>
      </c>
      <c r="F656" s="609" t="s">
        <v>607</v>
      </c>
      <c r="G656" s="610"/>
      <c r="H656" s="610"/>
      <c r="I656" s="611" t="s">
        <v>44</v>
      </c>
      <c r="J656" s="616">
        <v>48</v>
      </c>
      <c r="K656" s="613">
        <v>39</v>
      </c>
      <c r="L656" s="616">
        <v>48</v>
      </c>
      <c r="M656" s="616">
        <v>48</v>
      </c>
      <c r="N656" s="614">
        <v>38.97298</v>
      </c>
      <c r="O656" s="648"/>
      <c r="P656" s="648"/>
      <c r="R656" s="626"/>
      <c r="T656" s="633"/>
      <c r="U656" s="634"/>
    </row>
    <row r="657" spans="1:26" ht="19.149999999999999" customHeight="1">
      <c r="B657" s="606" t="s">
        <v>313</v>
      </c>
      <c r="C657" s="654">
        <v>10</v>
      </c>
      <c r="D657" s="607">
        <v>570</v>
      </c>
      <c r="E657" s="608">
        <v>812000</v>
      </c>
      <c r="F657" s="609" t="s">
        <v>608</v>
      </c>
      <c r="G657" s="610"/>
      <c r="H657" s="610"/>
      <c r="I657" s="611" t="s">
        <v>175</v>
      </c>
      <c r="J657" s="616">
        <v>109</v>
      </c>
      <c r="K657" s="613">
        <v>109</v>
      </c>
      <c r="L657" s="616">
        <v>109</v>
      </c>
      <c r="M657" s="616">
        <v>109</v>
      </c>
      <c r="N657" s="614">
        <v>107.9358</v>
      </c>
      <c r="O657" s="648"/>
      <c r="P657" s="648"/>
      <c r="R657" s="626"/>
      <c r="T657" s="633"/>
      <c r="U657" s="634"/>
    </row>
    <row r="658" spans="1:26" ht="21.5">
      <c r="B658" s="606" t="s">
        <v>313</v>
      </c>
      <c r="C658" s="654">
        <v>81</v>
      </c>
      <c r="D658" s="607">
        <v>720</v>
      </c>
      <c r="E658" s="608">
        <v>812000</v>
      </c>
      <c r="F658" s="609" t="s">
        <v>535</v>
      </c>
      <c r="G658" s="610"/>
      <c r="H658" s="610"/>
      <c r="I658" s="611" t="s">
        <v>44</v>
      </c>
      <c r="J658" s="616">
        <v>942</v>
      </c>
      <c r="K658" s="613">
        <v>983</v>
      </c>
      <c r="L658" s="616">
        <v>983</v>
      </c>
      <c r="M658" s="616">
        <v>870</v>
      </c>
      <c r="N658" s="614">
        <v>825.54279000000008</v>
      </c>
      <c r="O658" s="648"/>
      <c r="P658" s="648"/>
      <c r="R658" s="626"/>
      <c r="T658" s="633"/>
      <c r="U658" s="634"/>
    </row>
    <row r="659" spans="1:26" ht="19.149999999999999" customHeight="1">
      <c r="B659" s="606" t="s">
        <v>313</v>
      </c>
      <c r="C659" s="654">
        <v>81</v>
      </c>
      <c r="D659" s="607">
        <v>755</v>
      </c>
      <c r="E659" s="608">
        <v>812000</v>
      </c>
      <c r="F659" s="710" t="s">
        <v>616</v>
      </c>
      <c r="G659" s="610"/>
      <c r="H659" s="610"/>
      <c r="I659" s="611" t="s">
        <v>44</v>
      </c>
      <c r="J659" s="616">
        <v>150</v>
      </c>
      <c r="K659" s="613">
        <v>150</v>
      </c>
      <c r="L659" s="616">
        <v>150</v>
      </c>
      <c r="M659" s="616">
        <v>100</v>
      </c>
      <c r="N659" s="614">
        <v>12.685040000000001</v>
      </c>
      <c r="O659" s="648"/>
      <c r="P659" s="648"/>
      <c r="R659" s="626"/>
      <c r="T659" s="633"/>
      <c r="U659" s="634"/>
    </row>
    <row r="660" spans="1:26" s="593" customFormat="1" ht="28">
      <c r="A660" s="776"/>
      <c r="B660" s="606" t="s">
        <v>313</v>
      </c>
      <c r="C660" s="777">
        <v>81</v>
      </c>
      <c r="D660" s="778">
        <v>760</v>
      </c>
      <c r="E660" s="779">
        <v>812000</v>
      </c>
      <c r="F660" s="609" t="s">
        <v>2200</v>
      </c>
      <c r="G660" s="780"/>
      <c r="H660" s="780"/>
      <c r="I660" s="781" t="s">
        <v>175</v>
      </c>
      <c r="J660" s="782">
        <v>28326</v>
      </c>
      <c r="K660" s="783">
        <v>26824</v>
      </c>
      <c r="L660" s="782">
        <v>26795</v>
      </c>
      <c r="M660" s="782">
        <v>26755</v>
      </c>
      <c r="N660" s="784">
        <v>24835.40351</v>
      </c>
      <c r="O660" s="648"/>
      <c r="P660" s="648"/>
      <c r="Q660" s="649"/>
      <c r="R660" s="626"/>
      <c r="S660" s="592"/>
      <c r="T660" s="633"/>
      <c r="U660" s="638"/>
      <c r="V660" s="639"/>
      <c r="W660" s="639"/>
      <c r="X660" s="649"/>
      <c r="Y660" s="639"/>
      <c r="Z660" s="639"/>
    </row>
    <row r="661" spans="1:26" ht="19.149999999999999" customHeight="1">
      <c r="B661" s="606" t="s">
        <v>313</v>
      </c>
      <c r="C661" s="655">
        <v>81</v>
      </c>
      <c r="D661" s="615">
        <v>784</v>
      </c>
      <c r="E661" s="608">
        <v>812000</v>
      </c>
      <c r="F661" s="710" t="s">
        <v>29</v>
      </c>
      <c r="G661" s="610"/>
      <c r="H661" s="610"/>
      <c r="I661" s="611" t="s">
        <v>44</v>
      </c>
      <c r="J661" s="616">
        <f>594-207</f>
        <v>387</v>
      </c>
      <c r="K661" s="613">
        <v>728</v>
      </c>
      <c r="L661" s="616">
        <v>728</v>
      </c>
      <c r="M661" s="616">
        <v>514</v>
      </c>
      <c r="N661" s="614">
        <v>569.89088000000004</v>
      </c>
      <c r="O661" s="648"/>
      <c r="P661" s="648"/>
      <c r="R661" s="626"/>
      <c r="T661" s="633"/>
      <c r="U661" s="634"/>
    </row>
    <row r="662" spans="1:26" ht="19.149999999999999" customHeight="1">
      <c r="B662" s="606" t="s">
        <v>313</v>
      </c>
      <c r="C662" s="655">
        <v>81</v>
      </c>
      <c r="D662" s="615">
        <v>785</v>
      </c>
      <c r="E662" s="608">
        <v>812000</v>
      </c>
      <c r="F662" s="710" t="s">
        <v>1529</v>
      </c>
      <c r="G662" s="610"/>
      <c r="H662" s="610"/>
      <c r="I662" s="611" t="s">
        <v>44</v>
      </c>
      <c r="J662" s="616">
        <f>205-205</f>
        <v>0</v>
      </c>
      <c r="K662" s="613">
        <v>346</v>
      </c>
      <c r="L662" s="616">
        <v>346</v>
      </c>
      <c r="M662" s="616">
        <v>450</v>
      </c>
      <c r="N662" s="614">
        <v>654.74900000000002</v>
      </c>
      <c r="O662" s="648"/>
      <c r="P662" s="648"/>
      <c r="R662" s="626"/>
      <c r="T662" s="633"/>
      <c r="U662" s="634"/>
    </row>
    <row r="663" spans="1:26" ht="19.149999999999999" customHeight="1">
      <c r="B663" s="606" t="s">
        <v>313</v>
      </c>
      <c r="C663" s="655">
        <v>81</v>
      </c>
      <c r="D663" s="615">
        <v>960</v>
      </c>
      <c r="E663" s="608">
        <v>812000</v>
      </c>
      <c r="F663" s="710" t="s">
        <v>2174</v>
      </c>
      <c r="G663" s="610"/>
      <c r="H663" s="610"/>
      <c r="I663" s="611" t="s">
        <v>175</v>
      </c>
      <c r="J663" s="616">
        <v>950</v>
      </c>
      <c r="K663" s="613">
        <v>0</v>
      </c>
      <c r="L663" s="616">
        <v>0</v>
      </c>
      <c r="M663" s="616">
        <v>0</v>
      </c>
      <c r="N663" s="614">
        <v>0</v>
      </c>
      <c r="O663" s="648"/>
      <c r="P663" s="648"/>
      <c r="R663" s="626"/>
      <c r="T663" s="633"/>
      <c r="U663" s="634"/>
    </row>
    <row r="664" spans="1:26" ht="19.149999999999999" customHeight="1">
      <c r="B664" s="747"/>
      <c r="C664" s="656"/>
      <c r="D664" s="618"/>
      <c r="E664" s="619" t="s">
        <v>197</v>
      </c>
      <c r="F664" s="620" t="s">
        <v>644</v>
      </c>
      <c r="G664" s="621">
        <f>SUM(G645:G663)</f>
        <v>330.41000000000008</v>
      </c>
      <c r="H664" s="621">
        <f>SUM(H645:H663)</f>
        <v>292.24300000000005</v>
      </c>
      <c r="I664" s="622"/>
      <c r="J664" s="623">
        <f>SUM(J645:J663)</f>
        <v>72638</v>
      </c>
      <c r="K664" s="624">
        <f>SUM(K645:K663)</f>
        <v>67701</v>
      </c>
      <c r="L664" s="623">
        <f>SUM(L645:L663)</f>
        <v>68042</v>
      </c>
      <c r="M664" s="623">
        <f>SUM(M645:M663)</f>
        <v>67643</v>
      </c>
      <c r="N664" s="625">
        <f>SUM(N645:N663)</f>
        <v>62233.82024999999</v>
      </c>
      <c r="O664" s="648"/>
      <c r="P664" s="648"/>
      <c r="R664" s="626"/>
      <c r="T664" s="633"/>
      <c r="U664" s="632"/>
    </row>
    <row r="665" spans="1:26" ht="19.149999999999999" customHeight="1">
      <c r="B665" s="704"/>
      <c r="C665" s="684"/>
      <c r="D665" s="705"/>
      <c r="E665" s="695" t="s">
        <v>761</v>
      </c>
      <c r="F665" s="687" t="s">
        <v>594</v>
      </c>
      <c r="G665" s="706"/>
      <c r="H665" s="706"/>
      <c r="I665" s="707"/>
      <c r="J665" s="690"/>
      <c r="K665" s="693"/>
      <c r="L665" s="690"/>
      <c r="M665" s="690"/>
      <c r="N665" s="708"/>
      <c r="O665" s="648"/>
      <c r="P665" s="648"/>
      <c r="R665" s="626"/>
      <c r="T665" s="633"/>
      <c r="U665" s="632"/>
    </row>
    <row r="666" spans="1:26" ht="19.149999999999999" customHeight="1">
      <c r="B666" s="606" t="s">
        <v>594</v>
      </c>
      <c r="C666" s="654">
        <v>81</v>
      </c>
      <c r="D666" s="607">
        <v>101</v>
      </c>
      <c r="E666" s="608">
        <v>813200</v>
      </c>
      <c r="F666" s="609" t="s">
        <v>870</v>
      </c>
      <c r="G666" s="610">
        <v>18.579999999999998</v>
      </c>
      <c r="H666" s="610">
        <v>18.23</v>
      </c>
      <c r="I666" s="611" t="s">
        <v>669</v>
      </c>
      <c r="J666" s="616">
        <v>3216</v>
      </c>
      <c r="K666" s="613">
        <v>3104</v>
      </c>
      <c r="L666" s="616">
        <v>3147</v>
      </c>
      <c r="M666" s="616">
        <v>3097</v>
      </c>
      <c r="N666" s="614">
        <v>2884.77772</v>
      </c>
      <c r="O666" s="648"/>
      <c r="P666" s="648"/>
      <c r="R666" s="626"/>
      <c r="T666" s="633"/>
      <c r="U666" s="634"/>
    </row>
    <row r="667" spans="1:26" ht="18.649999999999999" customHeight="1">
      <c r="B667" s="606" t="s">
        <v>594</v>
      </c>
      <c r="C667" s="654">
        <v>81</v>
      </c>
      <c r="D667" s="607">
        <v>102</v>
      </c>
      <c r="E667" s="608">
        <v>813200</v>
      </c>
      <c r="F667" s="609" t="s">
        <v>82</v>
      </c>
      <c r="G667" s="610">
        <v>17</v>
      </c>
      <c r="H667" s="610">
        <v>17</v>
      </c>
      <c r="I667" s="611" t="s">
        <v>669</v>
      </c>
      <c r="J667" s="616">
        <v>2409</v>
      </c>
      <c r="K667" s="613">
        <v>2335</v>
      </c>
      <c r="L667" s="616">
        <v>2414</v>
      </c>
      <c r="M667" s="616">
        <v>2414</v>
      </c>
      <c r="N667" s="614">
        <v>2353.2963599999998</v>
      </c>
      <c r="O667" s="648"/>
      <c r="P667" s="648"/>
      <c r="R667" s="626"/>
      <c r="T667" s="633"/>
      <c r="U667" s="634"/>
    </row>
    <row r="668" spans="1:26" ht="18.649999999999999" customHeight="1">
      <c r="B668" s="606" t="s">
        <v>594</v>
      </c>
      <c r="C668" s="654">
        <v>81</v>
      </c>
      <c r="D668" s="607">
        <v>103</v>
      </c>
      <c r="E668" s="608">
        <v>813200</v>
      </c>
      <c r="F668" s="609" t="s">
        <v>1172</v>
      </c>
      <c r="G668" s="610">
        <v>8.8800000000000008</v>
      </c>
      <c r="H668" s="610">
        <v>8.6662333333333326</v>
      </c>
      <c r="I668" s="611" t="s">
        <v>669</v>
      </c>
      <c r="J668" s="616">
        <v>1377</v>
      </c>
      <c r="K668" s="613">
        <v>1307</v>
      </c>
      <c r="L668" s="616">
        <v>1356</v>
      </c>
      <c r="M668" s="616">
        <v>1356</v>
      </c>
      <c r="N668" s="614">
        <v>1216.64825</v>
      </c>
      <c r="O668" s="648"/>
      <c r="P668" s="648"/>
      <c r="R668" s="626"/>
      <c r="T668" s="633"/>
      <c r="U668" s="634"/>
    </row>
    <row r="669" spans="1:26" ht="28">
      <c r="B669" s="606" t="s">
        <v>594</v>
      </c>
      <c r="C669" s="654">
        <v>81</v>
      </c>
      <c r="D669" s="607">
        <v>104</v>
      </c>
      <c r="E669" s="608">
        <v>813200</v>
      </c>
      <c r="F669" s="609" t="s">
        <v>2072</v>
      </c>
      <c r="G669" s="610">
        <v>0</v>
      </c>
      <c r="H669" s="610">
        <v>0</v>
      </c>
      <c r="I669" s="611" t="s">
        <v>669</v>
      </c>
      <c r="J669" s="616">
        <v>0</v>
      </c>
      <c r="K669" s="613">
        <v>0</v>
      </c>
      <c r="L669" s="616">
        <v>0</v>
      </c>
      <c r="M669" s="616">
        <v>199</v>
      </c>
      <c r="N669" s="614">
        <v>0</v>
      </c>
      <c r="O669" s="648"/>
      <c r="P669" s="648"/>
      <c r="R669" s="626"/>
      <c r="T669" s="633"/>
      <c r="U669" s="634"/>
    </row>
    <row r="670" spans="1:26" ht="28">
      <c r="B670" s="606" t="s">
        <v>594</v>
      </c>
      <c r="C670" s="654">
        <v>81</v>
      </c>
      <c r="D670" s="607">
        <v>105</v>
      </c>
      <c r="E670" s="608">
        <v>813200</v>
      </c>
      <c r="F670" s="609" t="s">
        <v>1420</v>
      </c>
      <c r="G670" s="610">
        <v>5</v>
      </c>
      <c r="H670" s="610">
        <v>4.8485000000000005</v>
      </c>
      <c r="I670" s="611" t="s">
        <v>669</v>
      </c>
      <c r="J670" s="616">
        <v>551</v>
      </c>
      <c r="K670" s="613">
        <v>512</v>
      </c>
      <c r="L670" s="616">
        <v>512</v>
      </c>
      <c r="M670" s="616">
        <v>632</v>
      </c>
      <c r="N670" s="614">
        <v>525.43828000000008</v>
      </c>
      <c r="O670" s="648"/>
      <c r="P670" s="648"/>
      <c r="R670" s="626"/>
      <c r="T670" s="633"/>
      <c r="U670" s="634"/>
    </row>
    <row r="671" spans="1:26" ht="19.149999999999999" customHeight="1">
      <c r="B671" s="606" t="s">
        <v>594</v>
      </c>
      <c r="C671" s="654">
        <v>81</v>
      </c>
      <c r="D671" s="607">
        <v>106</v>
      </c>
      <c r="E671" s="608">
        <v>813200</v>
      </c>
      <c r="F671" s="609" t="s">
        <v>1243</v>
      </c>
      <c r="G671" s="610">
        <v>25.8</v>
      </c>
      <c r="H671" s="610">
        <v>20.20611666666667</v>
      </c>
      <c r="I671" s="611" t="s">
        <v>669</v>
      </c>
      <c r="J671" s="616">
        <f>2802+315-210</f>
        <v>2907</v>
      </c>
      <c r="K671" s="613">
        <v>2481</v>
      </c>
      <c r="L671" s="616">
        <v>2876</v>
      </c>
      <c r="M671" s="616">
        <v>2876</v>
      </c>
      <c r="N671" s="614">
        <v>2459.6382200000003</v>
      </c>
      <c r="O671" s="648"/>
      <c r="P671" s="648"/>
      <c r="R671" s="626"/>
      <c r="T671" s="633"/>
      <c r="U671" s="634"/>
      <c r="Y671" s="633"/>
    </row>
    <row r="672" spans="1:26" ht="28">
      <c r="B672" s="606" t="s">
        <v>594</v>
      </c>
      <c r="C672" s="654">
        <v>81</v>
      </c>
      <c r="D672" s="607">
        <v>107</v>
      </c>
      <c r="E672" s="608">
        <v>813200</v>
      </c>
      <c r="F672" s="775" t="s">
        <v>1699</v>
      </c>
      <c r="G672" s="610">
        <v>30</v>
      </c>
      <c r="H672" s="610">
        <v>31.82393333333334</v>
      </c>
      <c r="I672" s="611" t="s">
        <v>669</v>
      </c>
      <c r="J672" s="616">
        <f>2730-943</f>
        <v>1787</v>
      </c>
      <c r="K672" s="613">
        <v>2781</v>
      </c>
      <c r="L672" s="616">
        <v>2792</v>
      </c>
      <c r="M672" s="616">
        <v>1886</v>
      </c>
      <c r="N672" s="614">
        <v>2811.3073799999997</v>
      </c>
      <c r="O672" s="648"/>
      <c r="P672" s="648"/>
      <c r="R672" s="626"/>
      <c r="T672" s="633"/>
      <c r="U672" s="634"/>
    </row>
    <row r="673" spans="2:21" ht="19.149999999999999" customHeight="1">
      <c r="B673" s="606" t="s">
        <v>594</v>
      </c>
      <c r="C673" s="654">
        <v>81</v>
      </c>
      <c r="D673" s="607">
        <v>108</v>
      </c>
      <c r="E673" s="608">
        <v>813200</v>
      </c>
      <c r="F673" s="609" t="s">
        <v>1664</v>
      </c>
      <c r="G673" s="610">
        <v>1</v>
      </c>
      <c r="H673" s="610">
        <v>0</v>
      </c>
      <c r="I673" s="611" t="s">
        <v>669</v>
      </c>
      <c r="J673" s="616">
        <f>90-10</f>
        <v>80</v>
      </c>
      <c r="K673" s="613">
        <v>52</v>
      </c>
      <c r="L673" s="616">
        <v>52</v>
      </c>
      <c r="M673" s="616">
        <v>80</v>
      </c>
      <c r="N673" s="614">
        <v>100.05389</v>
      </c>
      <c r="O673" s="648"/>
      <c r="P673" s="648"/>
      <c r="R673" s="626"/>
      <c r="T673" s="633"/>
      <c r="U673" s="634"/>
    </row>
    <row r="674" spans="2:21" ht="28">
      <c r="B674" s="606" t="s">
        <v>594</v>
      </c>
      <c r="C674" s="654">
        <v>81</v>
      </c>
      <c r="D674" s="607">
        <v>109</v>
      </c>
      <c r="E674" s="608">
        <v>813200</v>
      </c>
      <c r="F674" s="609" t="s">
        <v>2024</v>
      </c>
      <c r="G674" s="610">
        <v>0</v>
      </c>
      <c r="H674" s="610">
        <v>0.96360000000000012</v>
      </c>
      <c r="I674" s="611" t="s">
        <v>669</v>
      </c>
      <c r="J674" s="616">
        <v>200</v>
      </c>
      <c r="K674" s="613">
        <v>200</v>
      </c>
      <c r="L674" s="616">
        <v>200</v>
      </c>
      <c r="M674" s="616">
        <v>200</v>
      </c>
      <c r="N674" s="614">
        <v>130.57291000000001</v>
      </c>
      <c r="O674" s="648"/>
      <c r="P674" s="648"/>
      <c r="R674" s="626"/>
      <c r="T674" s="633"/>
      <c r="U674" s="634"/>
    </row>
    <row r="675" spans="2:21" ht="28">
      <c r="B675" s="606" t="s">
        <v>594</v>
      </c>
      <c r="C675" s="654">
        <v>81</v>
      </c>
      <c r="D675" s="607">
        <v>110</v>
      </c>
      <c r="E675" s="608">
        <v>813200</v>
      </c>
      <c r="F675" s="609" t="s">
        <v>2294</v>
      </c>
      <c r="G675" s="1085">
        <v>28.87</v>
      </c>
      <c r="H675" s="610">
        <v>0</v>
      </c>
      <c r="I675" s="611" t="s">
        <v>669</v>
      </c>
      <c r="J675" s="616">
        <v>3192</v>
      </c>
      <c r="K675" s="613">
        <v>2210</v>
      </c>
      <c r="L675" s="616">
        <v>2210</v>
      </c>
      <c r="M675" s="616">
        <v>0</v>
      </c>
      <c r="N675" s="614">
        <v>0</v>
      </c>
      <c r="O675" s="648"/>
      <c r="P675" s="648"/>
      <c r="R675" s="626"/>
      <c r="T675" s="633"/>
      <c r="U675" s="634"/>
    </row>
    <row r="676" spans="2:21" ht="18.649999999999999" customHeight="1">
      <c r="B676" s="606" t="s">
        <v>594</v>
      </c>
      <c r="C676" s="654">
        <v>10</v>
      </c>
      <c r="D676" s="607">
        <v>570</v>
      </c>
      <c r="E676" s="608">
        <v>813200</v>
      </c>
      <c r="F676" s="609" t="s">
        <v>608</v>
      </c>
      <c r="G676" s="610"/>
      <c r="H676" s="610"/>
      <c r="I676" s="611" t="s">
        <v>175</v>
      </c>
      <c r="J676" s="616">
        <v>365</v>
      </c>
      <c r="K676" s="613">
        <v>365</v>
      </c>
      <c r="L676" s="616">
        <v>365</v>
      </c>
      <c r="M676" s="616">
        <v>365</v>
      </c>
      <c r="N676" s="614">
        <v>333.22228999999999</v>
      </c>
      <c r="O676" s="648"/>
      <c r="P676" s="648"/>
      <c r="R676" s="626"/>
      <c r="T676" s="633"/>
      <c r="U676" s="634"/>
    </row>
    <row r="677" spans="2:21" ht="18.649999999999999" customHeight="1">
      <c r="B677" s="606" t="s">
        <v>594</v>
      </c>
      <c r="C677" s="655">
        <v>81</v>
      </c>
      <c r="D677" s="615">
        <v>750</v>
      </c>
      <c r="E677" s="608">
        <v>813200</v>
      </c>
      <c r="F677" s="609" t="s">
        <v>361</v>
      </c>
      <c r="G677" s="610"/>
      <c r="H677" s="610"/>
      <c r="I677" s="611" t="s">
        <v>175</v>
      </c>
      <c r="J677" s="616">
        <f>6198-385</f>
        <v>5813</v>
      </c>
      <c r="K677" s="613">
        <v>4979</v>
      </c>
      <c r="L677" s="616">
        <v>5253</v>
      </c>
      <c r="M677" s="616">
        <v>4807</v>
      </c>
      <c r="N677" s="614">
        <v>4711.3694000000005</v>
      </c>
      <c r="O677" s="648"/>
      <c r="P677" s="648"/>
      <c r="R677" s="626"/>
      <c r="T677" s="633"/>
      <c r="U677" s="634"/>
    </row>
    <row r="678" spans="2:21" ht="32.25" customHeight="1">
      <c r="B678" s="606" t="s">
        <v>594</v>
      </c>
      <c r="C678" s="655">
        <v>81</v>
      </c>
      <c r="D678" s="615">
        <v>755</v>
      </c>
      <c r="E678" s="608">
        <v>813200</v>
      </c>
      <c r="F678" s="609" t="s">
        <v>1410</v>
      </c>
      <c r="G678" s="610"/>
      <c r="H678" s="610"/>
      <c r="I678" s="611" t="s">
        <v>44</v>
      </c>
      <c r="J678" s="616">
        <v>143</v>
      </c>
      <c r="K678" s="613">
        <v>70</v>
      </c>
      <c r="L678" s="616">
        <v>143</v>
      </c>
      <c r="M678" s="616">
        <v>150</v>
      </c>
      <c r="N678" s="614">
        <v>68.789529999999999</v>
      </c>
      <c r="O678" s="648"/>
      <c r="P678" s="648"/>
      <c r="R678" s="626"/>
      <c r="T678" s="633"/>
      <c r="U678" s="634"/>
    </row>
    <row r="679" spans="2:21" ht="28">
      <c r="B679" s="606" t="s">
        <v>594</v>
      </c>
      <c r="C679" s="654">
        <v>81</v>
      </c>
      <c r="D679" s="607">
        <v>756</v>
      </c>
      <c r="E679" s="608">
        <v>813200</v>
      </c>
      <c r="F679" s="609" t="s">
        <v>1876</v>
      </c>
      <c r="G679" s="610"/>
      <c r="H679" s="610"/>
      <c r="I679" s="611" t="s">
        <v>44</v>
      </c>
      <c r="J679" s="616">
        <v>10</v>
      </c>
      <c r="K679" s="613">
        <v>10</v>
      </c>
      <c r="L679" s="616">
        <v>10</v>
      </c>
      <c r="M679" s="616">
        <v>75</v>
      </c>
      <c r="N679" s="614">
        <v>6.81372</v>
      </c>
      <c r="O679" s="648"/>
      <c r="P679" s="648"/>
      <c r="R679" s="626"/>
      <c r="T679" s="633"/>
      <c r="U679" s="634"/>
    </row>
    <row r="680" spans="2:21" ht="19.149999999999999" customHeight="1">
      <c r="B680" s="606" t="s">
        <v>594</v>
      </c>
      <c r="C680" s="654">
        <v>81</v>
      </c>
      <c r="D680" s="607">
        <v>780</v>
      </c>
      <c r="E680" s="608">
        <v>813200</v>
      </c>
      <c r="F680" s="609" t="s">
        <v>1785</v>
      </c>
      <c r="G680" s="610"/>
      <c r="H680" s="610"/>
      <c r="I680" s="611" t="s">
        <v>44</v>
      </c>
      <c r="J680" s="616">
        <v>1440</v>
      </c>
      <c r="K680" s="613">
        <v>1352</v>
      </c>
      <c r="L680" s="616">
        <v>1802</v>
      </c>
      <c r="M680" s="616">
        <v>2252</v>
      </c>
      <c r="N680" s="614">
        <v>2178.78665</v>
      </c>
      <c r="O680" s="648"/>
      <c r="P680" s="648"/>
      <c r="R680" s="626"/>
      <c r="T680" s="633"/>
      <c r="U680" s="634"/>
    </row>
    <row r="681" spans="2:21" ht="36" customHeight="1">
      <c r="B681" s="606" t="s">
        <v>594</v>
      </c>
      <c r="C681" s="757">
        <v>81</v>
      </c>
      <c r="D681" s="758">
        <v>781</v>
      </c>
      <c r="E681" s="608">
        <v>813200</v>
      </c>
      <c r="F681" s="609" t="s">
        <v>2295</v>
      </c>
      <c r="G681" s="610"/>
      <c r="H681" s="610"/>
      <c r="I681" s="611" t="s">
        <v>44</v>
      </c>
      <c r="J681" s="616">
        <v>997</v>
      </c>
      <c r="K681" s="613">
        <v>670</v>
      </c>
      <c r="L681" s="616">
        <v>670</v>
      </c>
      <c r="M681" s="616">
        <v>0</v>
      </c>
      <c r="N681" s="614">
        <v>0</v>
      </c>
      <c r="O681" s="648"/>
      <c r="P681" s="648"/>
      <c r="R681" s="626"/>
      <c r="T681" s="633"/>
      <c r="U681" s="634"/>
    </row>
    <row r="682" spans="2:21" ht="19.149999999999999" customHeight="1">
      <c r="B682" s="606" t="s">
        <v>594</v>
      </c>
      <c r="C682" s="757">
        <v>81</v>
      </c>
      <c r="D682" s="758">
        <v>782</v>
      </c>
      <c r="E682" s="608">
        <v>813200</v>
      </c>
      <c r="F682" s="609" t="s">
        <v>2155</v>
      </c>
      <c r="G682" s="610"/>
      <c r="H682" s="610"/>
      <c r="I682" s="611" t="s">
        <v>44</v>
      </c>
      <c r="J682" s="616">
        <v>1578</v>
      </c>
      <c r="K682" s="613">
        <v>980</v>
      </c>
      <c r="L682" s="616">
        <v>980</v>
      </c>
      <c r="M682" s="616">
        <v>0</v>
      </c>
      <c r="N682" s="614">
        <v>0</v>
      </c>
      <c r="O682" s="648"/>
      <c r="P682" s="648"/>
      <c r="R682" s="626"/>
      <c r="T682" s="633"/>
      <c r="U682" s="634"/>
    </row>
    <row r="683" spans="2:21" ht="19.149999999999999" customHeight="1">
      <c r="B683" s="606" t="s">
        <v>594</v>
      </c>
      <c r="C683" s="655">
        <v>81</v>
      </c>
      <c r="D683" s="615">
        <v>784</v>
      </c>
      <c r="E683" s="608">
        <v>813200</v>
      </c>
      <c r="F683" s="609" t="s">
        <v>29</v>
      </c>
      <c r="G683" s="610"/>
      <c r="H683" s="610"/>
      <c r="I683" s="611" t="s">
        <v>44</v>
      </c>
      <c r="J683" s="616">
        <f>1488-500</f>
        <v>988</v>
      </c>
      <c r="K683" s="613">
        <v>1449</v>
      </c>
      <c r="L683" s="616">
        <v>1449</v>
      </c>
      <c r="M683" s="616">
        <v>1151</v>
      </c>
      <c r="N683" s="614">
        <v>1370.0966699999999</v>
      </c>
      <c r="O683" s="648"/>
      <c r="P683" s="648"/>
      <c r="R683" s="626"/>
      <c r="T683" s="633"/>
      <c r="U683" s="634"/>
    </row>
    <row r="684" spans="2:21" ht="19.149999999999999" customHeight="1">
      <c r="B684" s="606" t="s">
        <v>594</v>
      </c>
      <c r="C684" s="655">
        <v>81</v>
      </c>
      <c r="D684" s="615">
        <v>785</v>
      </c>
      <c r="E684" s="608">
        <v>813200</v>
      </c>
      <c r="F684" s="609" t="s">
        <v>1737</v>
      </c>
      <c r="G684" s="610"/>
      <c r="H684" s="610"/>
      <c r="I684" s="611" t="s">
        <v>44</v>
      </c>
      <c r="J684" s="616">
        <v>162</v>
      </c>
      <c r="K684" s="613">
        <v>162</v>
      </c>
      <c r="L684" s="616">
        <v>162</v>
      </c>
      <c r="M684" s="616">
        <v>259</v>
      </c>
      <c r="N684" s="614">
        <v>148.1294</v>
      </c>
      <c r="O684" s="648"/>
      <c r="P684" s="648"/>
      <c r="R684" s="626"/>
      <c r="T684" s="633"/>
      <c r="U684" s="634"/>
    </row>
    <row r="685" spans="2:21" ht="19.149999999999999" customHeight="1">
      <c r="B685" s="606" t="s">
        <v>594</v>
      </c>
      <c r="C685" s="655">
        <v>81</v>
      </c>
      <c r="D685" s="615">
        <v>860</v>
      </c>
      <c r="E685" s="608">
        <v>813200</v>
      </c>
      <c r="F685" s="609" t="s">
        <v>1542</v>
      </c>
      <c r="G685" s="610"/>
      <c r="H685" s="610"/>
      <c r="I685" s="611" t="s">
        <v>44</v>
      </c>
      <c r="J685" s="616">
        <v>76</v>
      </c>
      <c r="K685" s="613">
        <v>76</v>
      </c>
      <c r="L685" s="616">
        <v>76</v>
      </c>
      <c r="M685" s="616">
        <v>80</v>
      </c>
      <c r="N685" s="614">
        <v>79.53</v>
      </c>
      <c r="O685" s="648"/>
      <c r="P685" s="648"/>
      <c r="R685" s="626"/>
      <c r="T685" s="633"/>
      <c r="U685" s="634"/>
    </row>
    <row r="686" spans="2:21" ht="19.149999999999999" customHeight="1">
      <c r="B686" s="606" t="s">
        <v>594</v>
      </c>
      <c r="C686" s="654">
        <v>82</v>
      </c>
      <c r="D686" s="607">
        <v>873</v>
      </c>
      <c r="E686" s="608">
        <v>813200</v>
      </c>
      <c r="F686" s="609" t="s">
        <v>1931</v>
      </c>
      <c r="G686" s="610"/>
      <c r="H686" s="610"/>
      <c r="I686" s="611" t="s">
        <v>175</v>
      </c>
      <c r="J686" s="616">
        <v>60</v>
      </c>
      <c r="K686" s="613">
        <v>62</v>
      </c>
      <c r="L686" s="616">
        <v>46</v>
      </c>
      <c r="M686" s="616">
        <v>46</v>
      </c>
      <c r="N686" s="614">
        <v>62.13</v>
      </c>
      <c r="O686" s="648"/>
      <c r="P686" s="648"/>
      <c r="R686" s="626"/>
      <c r="T686" s="633"/>
      <c r="U686" s="634"/>
    </row>
    <row r="687" spans="2:21" ht="28">
      <c r="B687" s="606" t="s">
        <v>594</v>
      </c>
      <c r="C687" s="655">
        <v>81</v>
      </c>
      <c r="D687" s="615">
        <v>876</v>
      </c>
      <c r="E687" s="608">
        <v>813200</v>
      </c>
      <c r="F687" s="609" t="s">
        <v>2058</v>
      </c>
      <c r="G687" s="610"/>
      <c r="H687" s="610"/>
      <c r="I687" s="611" t="s">
        <v>175</v>
      </c>
      <c r="J687" s="616">
        <v>391</v>
      </c>
      <c r="K687" s="613">
        <v>335</v>
      </c>
      <c r="L687" s="616">
        <v>331</v>
      </c>
      <c r="M687" s="616">
        <v>373</v>
      </c>
      <c r="N687" s="614">
        <v>373.73440000000005</v>
      </c>
      <c r="O687" s="648"/>
      <c r="P687" s="648"/>
      <c r="R687" s="626"/>
      <c r="T687" s="633"/>
      <c r="U687" s="634"/>
    </row>
    <row r="688" spans="2:21" ht="19.149999999999999" customHeight="1">
      <c r="B688" s="606" t="s">
        <v>594</v>
      </c>
      <c r="C688" s="655">
        <v>81</v>
      </c>
      <c r="D688" s="615">
        <v>877</v>
      </c>
      <c r="E688" s="608">
        <v>813200</v>
      </c>
      <c r="F688" s="609" t="s">
        <v>1431</v>
      </c>
      <c r="G688" s="610"/>
      <c r="H688" s="610"/>
      <c r="I688" s="611" t="s">
        <v>175</v>
      </c>
      <c r="J688" s="616">
        <v>774</v>
      </c>
      <c r="K688" s="613">
        <v>701</v>
      </c>
      <c r="L688" s="616">
        <v>701</v>
      </c>
      <c r="M688" s="616">
        <v>506</v>
      </c>
      <c r="N688" s="614">
        <v>668.35809999999992</v>
      </c>
      <c r="O688" s="648"/>
      <c r="P688" s="648"/>
      <c r="R688" s="626"/>
      <c r="T688" s="633"/>
      <c r="U688" s="634"/>
    </row>
    <row r="689" spans="1:26" ht="19.149999999999999" customHeight="1">
      <c r="B689" s="606" t="s">
        <v>594</v>
      </c>
      <c r="C689" s="654">
        <v>81</v>
      </c>
      <c r="D689" s="607">
        <v>878</v>
      </c>
      <c r="E689" s="608">
        <v>813200</v>
      </c>
      <c r="F689" s="609" t="s">
        <v>170</v>
      </c>
      <c r="G689" s="610"/>
      <c r="H689" s="610"/>
      <c r="I689" s="611" t="s">
        <v>44</v>
      </c>
      <c r="J689" s="616">
        <v>4799</v>
      </c>
      <c r="K689" s="613">
        <v>4705</v>
      </c>
      <c r="L689" s="616">
        <v>4705</v>
      </c>
      <c r="M689" s="616">
        <v>4705</v>
      </c>
      <c r="N689" s="614">
        <v>4549.0949500000006</v>
      </c>
      <c r="O689" s="648"/>
      <c r="P689" s="648"/>
      <c r="R689" s="626"/>
      <c r="T689" s="633"/>
      <c r="U689" s="634"/>
    </row>
    <row r="690" spans="1:26" ht="27.75" customHeight="1">
      <c r="B690" s="606" t="s">
        <v>594</v>
      </c>
      <c r="C690" s="654">
        <v>81</v>
      </c>
      <c r="D690" s="607">
        <v>960</v>
      </c>
      <c r="E690" s="608">
        <v>813200</v>
      </c>
      <c r="F690" s="609" t="s">
        <v>2242</v>
      </c>
      <c r="G690" s="610"/>
      <c r="H690" s="610"/>
      <c r="I690" s="611" t="s">
        <v>175</v>
      </c>
      <c r="J690" s="616">
        <f>1100-200</f>
        <v>900</v>
      </c>
      <c r="K690" s="613">
        <v>0</v>
      </c>
      <c r="L690" s="616">
        <v>0</v>
      </c>
      <c r="M690" s="616">
        <v>0</v>
      </c>
      <c r="N690" s="614">
        <v>0</v>
      </c>
      <c r="O690" s="648"/>
      <c r="P690" s="648"/>
      <c r="R690" s="626"/>
      <c r="T690" s="633"/>
      <c r="U690" s="634"/>
    </row>
    <row r="691" spans="1:26" ht="27.75" customHeight="1">
      <c r="B691" s="606" t="s">
        <v>594</v>
      </c>
      <c r="C691" s="654">
        <v>81</v>
      </c>
      <c r="D691" s="607">
        <v>961</v>
      </c>
      <c r="E691" s="608">
        <v>813200</v>
      </c>
      <c r="F691" s="609" t="s">
        <v>2241</v>
      </c>
      <c r="G691" s="610"/>
      <c r="H691" s="610"/>
      <c r="I691" s="611" t="s">
        <v>175</v>
      </c>
      <c r="J691" s="616">
        <v>330</v>
      </c>
      <c r="K691" s="613">
        <v>0</v>
      </c>
      <c r="L691" s="616">
        <v>0</v>
      </c>
      <c r="M691" s="616">
        <v>0</v>
      </c>
      <c r="N691" s="614">
        <v>0</v>
      </c>
      <c r="O691" s="648"/>
      <c r="P691" s="648"/>
      <c r="R691" s="626"/>
      <c r="T691" s="633"/>
      <c r="U691" s="634"/>
    </row>
    <row r="692" spans="1:26" ht="19.149999999999999" customHeight="1">
      <c r="B692" s="747"/>
      <c r="C692" s="656"/>
      <c r="D692" s="618"/>
      <c r="E692" s="619" t="s">
        <v>761</v>
      </c>
      <c r="F692" s="620" t="s">
        <v>645</v>
      </c>
      <c r="G692" s="621">
        <f>SUM(G666:G691)</f>
        <v>135.13</v>
      </c>
      <c r="H692" s="621">
        <f>SUM(H666:H691)</f>
        <v>101.73838333333335</v>
      </c>
      <c r="I692" s="622"/>
      <c r="J692" s="623">
        <f>SUM(J666:J691)</f>
        <v>34545</v>
      </c>
      <c r="K692" s="624">
        <f>SUM(K666:K691)</f>
        <v>30898</v>
      </c>
      <c r="L692" s="623">
        <f>SUM(L666:L691)</f>
        <v>32252</v>
      </c>
      <c r="M692" s="623">
        <f>SUM(M666:M691)</f>
        <v>27509</v>
      </c>
      <c r="N692" s="625">
        <f>SUM(N666:N691)</f>
        <v>27031.788120000005</v>
      </c>
      <c r="O692" s="648"/>
      <c r="P692" s="648"/>
      <c r="R692" s="626"/>
      <c r="T692" s="633"/>
      <c r="U692" s="632"/>
    </row>
    <row r="693" spans="1:26" ht="19.149999999999999" customHeight="1">
      <c r="B693" s="704"/>
      <c r="C693" s="684"/>
      <c r="D693" s="705"/>
      <c r="E693" s="695" t="s">
        <v>423</v>
      </c>
      <c r="F693" s="687" t="s">
        <v>424</v>
      </c>
      <c r="G693" s="706"/>
      <c r="H693" s="706"/>
      <c r="I693" s="707"/>
      <c r="J693" s="690"/>
      <c r="K693" s="693"/>
      <c r="L693" s="690"/>
      <c r="M693" s="690"/>
      <c r="N693" s="708"/>
      <c r="O693" s="648"/>
      <c r="P693" s="648"/>
      <c r="R693" s="626"/>
      <c r="T693" s="633"/>
      <c r="U693" s="632"/>
    </row>
    <row r="694" spans="1:26" ht="19.149999999999999" customHeight="1">
      <c r="B694" s="606" t="s">
        <v>424</v>
      </c>
      <c r="C694" s="654">
        <v>81</v>
      </c>
      <c r="D694" s="607">
        <v>100</v>
      </c>
      <c r="E694" s="608">
        <v>813210</v>
      </c>
      <c r="F694" s="609" t="s">
        <v>848</v>
      </c>
      <c r="G694" s="610">
        <v>1</v>
      </c>
      <c r="H694" s="610">
        <v>1</v>
      </c>
      <c r="I694" s="611" t="s">
        <v>669</v>
      </c>
      <c r="J694" s="616">
        <v>221</v>
      </c>
      <c r="K694" s="613">
        <v>216</v>
      </c>
      <c r="L694" s="616">
        <v>192</v>
      </c>
      <c r="M694" s="616">
        <v>192</v>
      </c>
      <c r="N694" s="614">
        <v>182.40248</v>
      </c>
      <c r="O694" s="648"/>
      <c r="P694" s="648"/>
      <c r="R694" s="626"/>
      <c r="T694" s="633"/>
      <c r="U694" s="634"/>
    </row>
    <row r="695" spans="1:26" ht="19.149999999999999" customHeight="1">
      <c r="B695" s="606" t="s">
        <v>424</v>
      </c>
      <c r="C695" s="655">
        <v>81</v>
      </c>
      <c r="D695" s="615">
        <v>750</v>
      </c>
      <c r="E695" s="608">
        <v>813210</v>
      </c>
      <c r="F695" s="609" t="s">
        <v>361</v>
      </c>
      <c r="G695" s="610"/>
      <c r="H695" s="610"/>
      <c r="I695" s="611" t="s">
        <v>175</v>
      </c>
      <c r="J695" s="616">
        <v>119</v>
      </c>
      <c r="K695" s="613">
        <v>91</v>
      </c>
      <c r="L695" s="616">
        <v>102</v>
      </c>
      <c r="M695" s="616">
        <v>120</v>
      </c>
      <c r="N695" s="614">
        <v>110.72499999999999</v>
      </c>
      <c r="O695" s="648"/>
      <c r="P695" s="648"/>
      <c r="R695" s="626"/>
      <c r="T695" s="633"/>
      <c r="U695" s="634"/>
    </row>
    <row r="696" spans="1:26" ht="19.149999999999999" customHeight="1">
      <c r="B696" s="606" t="s">
        <v>424</v>
      </c>
      <c r="C696" s="654">
        <v>81</v>
      </c>
      <c r="D696" s="607">
        <v>878</v>
      </c>
      <c r="E696" s="608">
        <v>813210</v>
      </c>
      <c r="F696" s="609" t="s">
        <v>417</v>
      </c>
      <c r="G696" s="610"/>
      <c r="H696" s="610"/>
      <c r="I696" s="611" t="s">
        <v>44</v>
      </c>
      <c r="J696" s="616">
        <v>118</v>
      </c>
      <c r="K696" s="613">
        <v>118</v>
      </c>
      <c r="L696" s="616">
        <v>118</v>
      </c>
      <c r="M696" s="616">
        <v>118</v>
      </c>
      <c r="N696" s="614">
        <v>117.05750999999999</v>
      </c>
      <c r="O696" s="648"/>
      <c r="P696" s="648"/>
      <c r="R696" s="626"/>
      <c r="T696" s="633"/>
      <c r="U696" s="634"/>
    </row>
    <row r="697" spans="1:26" ht="19.149999999999999" customHeight="1">
      <c r="B697" s="749"/>
      <c r="C697" s="712"/>
      <c r="D697" s="713"/>
      <c r="E697" s="714" t="s">
        <v>423</v>
      </c>
      <c r="F697" s="715" t="s">
        <v>573</v>
      </c>
      <c r="G697" s="716">
        <f>SUM(G694:G696)</f>
        <v>1</v>
      </c>
      <c r="H697" s="716">
        <f>SUM(H694:H696)</f>
        <v>1</v>
      </c>
      <c r="I697" s="717"/>
      <c r="J697" s="718">
        <f>SUM(J694:J696)</f>
        <v>458</v>
      </c>
      <c r="K697" s="719">
        <f>SUM(K694:K696)</f>
        <v>425</v>
      </c>
      <c r="L697" s="718">
        <f>SUM(L694:L696)</f>
        <v>412</v>
      </c>
      <c r="M697" s="718">
        <f>SUM(M694:M696)</f>
        <v>430</v>
      </c>
      <c r="N697" s="720">
        <f>SUM(N694:N696)</f>
        <v>410.18498999999997</v>
      </c>
      <c r="O697" s="648"/>
      <c r="P697" s="648"/>
      <c r="R697" s="626"/>
      <c r="T697" s="633"/>
      <c r="U697" s="632"/>
    </row>
    <row r="698" spans="1:26" ht="14">
      <c r="B698" s="704"/>
      <c r="C698" s="684"/>
      <c r="D698" s="705"/>
      <c r="E698" s="695" t="s">
        <v>1192</v>
      </c>
      <c r="F698" s="687" t="s">
        <v>1193</v>
      </c>
      <c r="G698" s="706"/>
      <c r="H698" s="706"/>
      <c r="I698" s="707"/>
      <c r="J698" s="690"/>
      <c r="K698" s="693"/>
      <c r="L698" s="690"/>
      <c r="M698" s="690"/>
      <c r="N698" s="708"/>
      <c r="O698" s="648"/>
      <c r="P698" s="648"/>
      <c r="R698" s="626"/>
      <c r="T698" s="633"/>
      <c r="U698" s="632"/>
    </row>
    <row r="699" spans="1:26" ht="19.149999999999999" customHeight="1">
      <c r="B699" s="606" t="s">
        <v>1193</v>
      </c>
      <c r="C699" s="654">
        <v>81</v>
      </c>
      <c r="D699" s="607">
        <v>100</v>
      </c>
      <c r="E699" s="608">
        <v>813220</v>
      </c>
      <c r="F699" s="609" t="s">
        <v>1058</v>
      </c>
      <c r="G699" s="610">
        <v>1</v>
      </c>
      <c r="H699" s="610">
        <v>1</v>
      </c>
      <c r="I699" s="611" t="s">
        <v>669</v>
      </c>
      <c r="J699" s="616">
        <v>158</v>
      </c>
      <c r="K699" s="613">
        <v>154</v>
      </c>
      <c r="L699" s="616">
        <v>171</v>
      </c>
      <c r="M699" s="616">
        <v>171</v>
      </c>
      <c r="N699" s="614">
        <v>141.12450000000001</v>
      </c>
      <c r="O699" s="648"/>
      <c r="P699" s="648"/>
      <c r="R699" s="626"/>
      <c r="T699" s="633"/>
      <c r="U699" s="634"/>
    </row>
    <row r="700" spans="1:26" s="593" customFormat="1" ht="28">
      <c r="A700" s="776"/>
      <c r="B700" s="606" t="s">
        <v>1193</v>
      </c>
      <c r="C700" s="785">
        <v>81</v>
      </c>
      <c r="D700" s="786">
        <v>780</v>
      </c>
      <c r="E700" s="779">
        <v>813220</v>
      </c>
      <c r="F700" s="609" t="s">
        <v>1955</v>
      </c>
      <c r="G700" s="780"/>
      <c r="H700" s="780"/>
      <c r="I700" s="781" t="s">
        <v>44</v>
      </c>
      <c r="J700" s="782">
        <v>410</v>
      </c>
      <c r="K700" s="783">
        <v>390</v>
      </c>
      <c r="L700" s="782">
        <v>390</v>
      </c>
      <c r="M700" s="782">
        <v>410</v>
      </c>
      <c r="N700" s="784">
        <v>359.39666999999997</v>
      </c>
      <c r="O700" s="787"/>
      <c r="P700" s="648"/>
      <c r="Q700" s="649"/>
      <c r="R700" s="626"/>
      <c r="S700" s="592"/>
      <c r="T700" s="633"/>
      <c r="U700" s="638"/>
      <c r="V700" s="639"/>
      <c r="W700" s="639"/>
      <c r="X700" s="649"/>
      <c r="Y700" s="639"/>
      <c r="Z700" s="639"/>
    </row>
    <row r="701" spans="1:26" ht="19.149999999999999" customHeight="1">
      <c r="B701" s="749"/>
      <c r="C701" s="712"/>
      <c r="D701" s="713"/>
      <c r="E701" s="714" t="s">
        <v>1192</v>
      </c>
      <c r="F701" s="715" t="s">
        <v>1194</v>
      </c>
      <c r="G701" s="716">
        <f>SUM(G699:G700)</f>
        <v>1</v>
      </c>
      <c r="H701" s="716">
        <f>SUM(H699:H700)</f>
        <v>1</v>
      </c>
      <c r="I701" s="717"/>
      <c r="J701" s="718">
        <f>SUM(J699:J700)</f>
        <v>568</v>
      </c>
      <c r="K701" s="719">
        <f>SUM(K699:K700)</f>
        <v>544</v>
      </c>
      <c r="L701" s="718">
        <f>SUM(L699:L700)</f>
        <v>561</v>
      </c>
      <c r="M701" s="718">
        <f>SUM(M699:M700)</f>
        <v>581</v>
      </c>
      <c r="N701" s="720">
        <f>SUM(N699:N700)</f>
        <v>500.52116999999998</v>
      </c>
      <c r="O701" s="648"/>
      <c r="P701" s="648"/>
      <c r="R701" s="626"/>
      <c r="T701" s="633"/>
      <c r="U701" s="632"/>
    </row>
    <row r="702" spans="1:26" ht="19.149999999999999" customHeight="1">
      <c r="B702" s="704"/>
      <c r="C702" s="684"/>
      <c r="D702" s="705"/>
      <c r="E702" s="695" t="s">
        <v>822</v>
      </c>
      <c r="F702" s="687" t="s">
        <v>1157</v>
      </c>
      <c r="G702" s="706"/>
      <c r="H702" s="706"/>
      <c r="I702" s="707"/>
      <c r="J702" s="690"/>
      <c r="K702" s="693"/>
      <c r="L702" s="690"/>
      <c r="M702" s="690"/>
      <c r="N702" s="708"/>
      <c r="O702" s="648"/>
      <c r="P702" s="648"/>
      <c r="R702" s="626"/>
      <c r="T702" s="633"/>
      <c r="U702" s="632"/>
    </row>
    <row r="703" spans="1:26" ht="19.149999999999999" customHeight="1">
      <c r="B703" s="606" t="s">
        <v>1157</v>
      </c>
      <c r="C703" s="654">
        <v>81</v>
      </c>
      <c r="D703" s="607">
        <v>100</v>
      </c>
      <c r="E703" s="608">
        <v>813300</v>
      </c>
      <c r="F703" s="609" t="s">
        <v>28</v>
      </c>
      <c r="G703" s="610">
        <v>4.5</v>
      </c>
      <c r="H703" s="610">
        <v>3.916666666666667</v>
      </c>
      <c r="I703" s="611" t="s">
        <v>669</v>
      </c>
      <c r="J703" s="616">
        <f>852+70</f>
        <v>922</v>
      </c>
      <c r="K703" s="613">
        <v>825</v>
      </c>
      <c r="L703" s="616">
        <v>890</v>
      </c>
      <c r="M703" s="616">
        <v>835</v>
      </c>
      <c r="N703" s="614">
        <v>783.65720999999996</v>
      </c>
      <c r="O703" s="648"/>
      <c r="P703" s="648"/>
      <c r="R703" s="626"/>
      <c r="T703" s="633"/>
      <c r="U703" s="634"/>
    </row>
    <row r="704" spans="1:26" ht="19.149999999999999" customHeight="1">
      <c r="B704" s="606" t="s">
        <v>1157</v>
      </c>
      <c r="C704" s="654">
        <v>81</v>
      </c>
      <c r="D704" s="607">
        <v>101</v>
      </c>
      <c r="E704" s="608">
        <v>813300</v>
      </c>
      <c r="F704" s="724" t="s">
        <v>739</v>
      </c>
      <c r="G704" s="610">
        <v>3.65</v>
      </c>
      <c r="H704" s="610">
        <v>3.5</v>
      </c>
      <c r="I704" s="611" t="s">
        <v>669</v>
      </c>
      <c r="J704" s="616">
        <v>515</v>
      </c>
      <c r="K704" s="613">
        <v>490</v>
      </c>
      <c r="L704" s="616">
        <v>499</v>
      </c>
      <c r="M704" s="616">
        <v>499</v>
      </c>
      <c r="N704" s="614">
        <v>444.30596000000003</v>
      </c>
      <c r="O704" s="648"/>
      <c r="P704" s="648"/>
      <c r="R704" s="626"/>
      <c r="T704" s="633"/>
      <c r="U704" s="634"/>
    </row>
    <row r="705" spans="2:21" ht="19.149999999999999" customHeight="1">
      <c r="B705" s="606" t="s">
        <v>1157</v>
      </c>
      <c r="C705" s="654">
        <v>81</v>
      </c>
      <c r="D705" s="607">
        <v>102</v>
      </c>
      <c r="E705" s="608">
        <v>813300</v>
      </c>
      <c r="F705" s="609" t="s">
        <v>819</v>
      </c>
      <c r="G705" s="610">
        <v>2</v>
      </c>
      <c r="H705" s="610">
        <v>2</v>
      </c>
      <c r="I705" s="611" t="s">
        <v>669</v>
      </c>
      <c r="J705" s="616">
        <v>290</v>
      </c>
      <c r="K705" s="613">
        <v>284</v>
      </c>
      <c r="L705" s="616">
        <v>298</v>
      </c>
      <c r="M705" s="616">
        <v>298</v>
      </c>
      <c r="N705" s="614">
        <v>278.60710999999998</v>
      </c>
      <c r="O705" s="648"/>
      <c r="P705" s="648"/>
      <c r="R705" s="626"/>
      <c r="T705" s="633"/>
      <c r="U705" s="634"/>
    </row>
    <row r="706" spans="2:21" ht="19.149999999999999" customHeight="1">
      <c r="B706" s="606" t="s">
        <v>1157</v>
      </c>
      <c r="C706" s="654">
        <v>81</v>
      </c>
      <c r="D706" s="607">
        <v>103</v>
      </c>
      <c r="E706" s="608">
        <v>813300</v>
      </c>
      <c r="F706" s="609" t="s">
        <v>1961</v>
      </c>
      <c r="G706" s="610">
        <v>1</v>
      </c>
      <c r="H706" s="610">
        <v>0</v>
      </c>
      <c r="I706" s="611" t="s">
        <v>669</v>
      </c>
      <c r="J706" s="616">
        <v>133</v>
      </c>
      <c r="K706" s="613">
        <v>130</v>
      </c>
      <c r="L706" s="616">
        <v>130</v>
      </c>
      <c r="M706" s="616">
        <v>130</v>
      </c>
      <c r="N706" s="614">
        <v>0</v>
      </c>
      <c r="O706" s="648"/>
      <c r="P706" s="648"/>
      <c r="R706" s="626"/>
      <c r="T706" s="633"/>
      <c r="U706" s="634"/>
    </row>
    <row r="707" spans="2:21" ht="18" customHeight="1">
      <c r="B707" s="606" t="s">
        <v>1157</v>
      </c>
      <c r="C707" s="654">
        <v>81</v>
      </c>
      <c r="D707" s="607">
        <v>104</v>
      </c>
      <c r="E707" s="608">
        <v>813300</v>
      </c>
      <c r="F707" s="710" t="s">
        <v>1786</v>
      </c>
      <c r="G707" s="610">
        <v>250.9</v>
      </c>
      <c r="H707" s="610">
        <v>210.28554999999946</v>
      </c>
      <c r="I707" s="611" t="s">
        <v>669</v>
      </c>
      <c r="J707" s="616">
        <v>33721</v>
      </c>
      <c r="K707" s="613">
        <v>30670</v>
      </c>
      <c r="L707" s="616">
        <v>31406</v>
      </c>
      <c r="M707" s="616">
        <v>31833</v>
      </c>
      <c r="N707" s="614">
        <v>26728.444210000001</v>
      </c>
      <c r="O707" s="648"/>
      <c r="P707" s="648"/>
      <c r="R707" s="626"/>
      <c r="T707" s="633"/>
      <c r="U707" s="634"/>
    </row>
    <row r="708" spans="2:21" ht="19.149999999999999" customHeight="1">
      <c r="B708" s="606" t="s">
        <v>1157</v>
      </c>
      <c r="C708" s="654">
        <v>81</v>
      </c>
      <c r="D708" s="607">
        <v>105</v>
      </c>
      <c r="E708" s="608">
        <v>813300</v>
      </c>
      <c r="F708" s="609" t="s">
        <v>1411</v>
      </c>
      <c r="G708" s="610">
        <v>0.7</v>
      </c>
      <c r="H708" s="610">
        <v>0.6823999999999999</v>
      </c>
      <c r="I708" s="611" t="s">
        <v>669</v>
      </c>
      <c r="J708" s="616">
        <v>91</v>
      </c>
      <c r="K708" s="613">
        <v>88</v>
      </c>
      <c r="L708" s="616">
        <v>87</v>
      </c>
      <c r="M708" s="616">
        <v>87</v>
      </c>
      <c r="N708" s="614">
        <v>82.674399999999991</v>
      </c>
      <c r="O708" s="648"/>
      <c r="P708" s="648"/>
      <c r="R708" s="626"/>
      <c r="T708" s="633"/>
      <c r="U708" s="634"/>
    </row>
    <row r="709" spans="2:21" ht="28.5" customHeight="1">
      <c r="B709" s="606" t="s">
        <v>1157</v>
      </c>
      <c r="C709" s="654">
        <v>81</v>
      </c>
      <c r="D709" s="607">
        <v>107</v>
      </c>
      <c r="E709" s="608">
        <v>813300</v>
      </c>
      <c r="F709" s="775" t="s">
        <v>1699</v>
      </c>
      <c r="G709" s="610">
        <v>1.9</v>
      </c>
      <c r="H709" s="610">
        <v>2.4357833333333336</v>
      </c>
      <c r="I709" s="611" t="s">
        <v>669</v>
      </c>
      <c r="J709" s="616">
        <f>241-80</f>
        <v>161</v>
      </c>
      <c r="K709" s="613">
        <v>225</v>
      </c>
      <c r="L709" s="616">
        <v>225</v>
      </c>
      <c r="M709" s="616">
        <v>161</v>
      </c>
      <c r="N709" s="614">
        <v>321.20465999999999</v>
      </c>
      <c r="O709" s="648"/>
      <c r="P709" s="648"/>
      <c r="R709" s="626"/>
      <c r="T709" s="633"/>
      <c r="U709" s="634"/>
    </row>
    <row r="710" spans="2:21" ht="19.149999999999999" customHeight="1">
      <c r="B710" s="606" t="s">
        <v>1157</v>
      </c>
      <c r="C710" s="654">
        <v>81</v>
      </c>
      <c r="D710" s="607">
        <v>430</v>
      </c>
      <c r="E710" s="608">
        <v>813300</v>
      </c>
      <c r="F710" s="609" t="s">
        <v>192</v>
      </c>
      <c r="G710" s="610"/>
      <c r="H710" s="610"/>
      <c r="I710" s="611" t="s">
        <v>175</v>
      </c>
      <c r="J710" s="616">
        <v>129</v>
      </c>
      <c r="K710" s="613">
        <v>100</v>
      </c>
      <c r="L710" s="616">
        <v>129</v>
      </c>
      <c r="M710" s="616">
        <v>129</v>
      </c>
      <c r="N710" s="614">
        <v>120.00660999999999</v>
      </c>
      <c r="O710" s="648"/>
      <c r="P710" s="648"/>
      <c r="R710" s="626"/>
      <c r="T710" s="633"/>
      <c r="U710" s="634"/>
    </row>
    <row r="711" spans="2:21" ht="19.149999999999999" customHeight="1">
      <c r="B711" s="606" t="s">
        <v>1157</v>
      </c>
      <c r="C711" s="654">
        <v>81</v>
      </c>
      <c r="D711" s="607">
        <v>432</v>
      </c>
      <c r="E711" s="608">
        <v>813300</v>
      </c>
      <c r="F711" s="609" t="s">
        <v>103</v>
      </c>
      <c r="G711" s="610"/>
      <c r="H711" s="610"/>
      <c r="I711" s="611" t="s">
        <v>175</v>
      </c>
      <c r="J711" s="616">
        <v>46</v>
      </c>
      <c r="K711" s="613">
        <v>46</v>
      </c>
      <c r="L711" s="616">
        <v>46</v>
      </c>
      <c r="M711" s="616">
        <v>46</v>
      </c>
      <c r="N711" s="614">
        <v>33.573999999999998</v>
      </c>
      <c r="O711" s="648"/>
      <c r="P711" s="648"/>
      <c r="R711" s="626"/>
      <c r="T711" s="633"/>
      <c r="U711" s="634"/>
    </row>
    <row r="712" spans="2:21" ht="19.149999999999999" customHeight="1">
      <c r="B712" s="606" t="s">
        <v>1157</v>
      </c>
      <c r="C712" s="655">
        <v>81</v>
      </c>
      <c r="D712" s="615">
        <v>511</v>
      </c>
      <c r="E712" s="608">
        <v>813300</v>
      </c>
      <c r="F712" s="609" t="s">
        <v>1682</v>
      </c>
      <c r="G712" s="610"/>
      <c r="H712" s="610"/>
      <c r="I712" s="611" t="s">
        <v>44</v>
      </c>
      <c r="J712" s="616">
        <v>48</v>
      </c>
      <c r="K712" s="613">
        <v>48</v>
      </c>
      <c r="L712" s="616">
        <v>48</v>
      </c>
      <c r="M712" s="616">
        <v>50</v>
      </c>
      <c r="N712" s="614">
        <v>38.085000000000001</v>
      </c>
      <c r="O712" s="648"/>
      <c r="P712" s="648"/>
      <c r="R712" s="626"/>
      <c r="T712" s="633"/>
      <c r="U712" s="634"/>
    </row>
    <row r="713" spans="2:21" ht="19.149999999999999" customHeight="1">
      <c r="B713" s="606" t="s">
        <v>1157</v>
      </c>
      <c r="C713" s="654">
        <v>10</v>
      </c>
      <c r="D713" s="607">
        <v>540</v>
      </c>
      <c r="E713" s="608">
        <v>813300</v>
      </c>
      <c r="F713" s="609" t="s">
        <v>1648</v>
      </c>
      <c r="G713" s="610"/>
      <c r="H713" s="610"/>
      <c r="I713" s="611" t="s">
        <v>175</v>
      </c>
      <c r="J713" s="616">
        <v>26</v>
      </c>
      <c r="K713" s="613">
        <v>26</v>
      </c>
      <c r="L713" s="616">
        <v>26</v>
      </c>
      <c r="M713" s="616">
        <v>26</v>
      </c>
      <c r="N713" s="614">
        <v>21.795110000000001</v>
      </c>
      <c r="O713" s="648"/>
      <c r="P713" s="648"/>
      <c r="R713" s="626"/>
      <c r="T713" s="633"/>
      <c r="U713" s="634"/>
    </row>
    <row r="714" spans="2:21" ht="19.149999999999999" customHeight="1">
      <c r="B714" s="606" t="s">
        <v>1157</v>
      </c>
      <c r="C714" s="654">
        <v>10</v>
      </c>
      <c r="D714" s="607">
        <v>570</v>
      </c>
      <c r="E714" s="608">
        <v>813300</v>
      </c>
      <c r="F714" s="609" t="s">
        <v>608</v>
      </c>
      <c r="G714" s="610"/>
      <c r="H714" s="610"/>
      <c r="I714" s="611" t="s">
        <v>175</v>
      </c>
      <c r="J714" s="616">
        <v>51</v>
      </c>
      <c r="K714" s="613">
        <v>51</v>
      </c>
      <c r="L714" s="616">
        <v>51</v>
      </c>
      <c r="M714" s="616">
        <v>51</v>
      </c>
      <c r="N714" s="614">
        <v>50.069189999999999</v>
      </c>
      <c r="O714" s="648"/>
      <c r="P714" s="648"/>
      <c r="R714" s="626"/>
      <c r="T714" s="633"/>
      <c r="U714" s="634"/>
    </row>
    <row r="715" spans="2:21" ht="19.149999999999999" customHeight="1">
      <c r="B715" s="606" t="s">
        <v>1157</v>
      </c>
      <c r="C715" s="655">
        <v>81</v>
      </c>
      <c r="D715" s="615">
        <v>720</v>
      </c>
      <c r="E715" s="608">
        <v>813300</v>
      </c>
      <c r="F715" s="609" t="s">
        <v>1246</v>
      </c>
      <c r="G715" s="610"/>
      <c r="H715" s="610"/>
      <c r="I715" s="611" t="s">
        <v>44</v>
      </c>
      <c r="J715" s="616">
        <v>1329</v>
      </c>
      <c r="K715" s="613">
        <v>1147</v>
      </c>
      <c r="L715" s="616">
        <v>1147</v>
      </c>
      <c r="M715" s="616">
        <v>1183</v>
      </c>
      <c r="N715" s="614">
        <v>1074.00164</v>
      </c>
      <c r="O715" s="648"/>
      <c r="P715" s="648"/>
      <c r="R715" s="626"/>
      <c r="T715" s="633"/>
      <c r="U715" s="634"/>
    </row>
    <row r="716" spans="2:21" ht="19.149999999999999" customHeight="1">
      <c r="B716" s="606" t="s">
        <v>1157</v>
      </c>
      <c r="C716" s="654">
        <v>5</v>
      </c>
      <c r="D716" s="607">
        <v>742</v>
      </c>
      <c r="E716" s="608">
        <v>813300</v>
      </c>
      <c r="F716" s="710" t="s">
        <v>821</v>
      </c>
      <c r="G716" s="610"/>
      <c r="H716" s="610"/>
      <c r="I716" s="611" t="s">
        <v>175</v>
      </c>
      <c r="J716" s="616">
        <v>3</v>
      </c>
      <c r="K716" s="613">
        <v>3</v>
      </c>
      <c r="L716" s="616">
        <v>5</v>
      </c>
      <c r="M716" s="616">
        <v>5</v>
      </c>
      <c r="N716" s="614">
        <v>0.96647000000000005</v>
      </c>
      <c r="O716" s="648"/>
      <c r="P716" s="648"/>
      <c r="R716" s="626"/>
      <c r="T716" s="633"/>
      <c r="U716" s="634"/>
    </row>
    <row r="717" spans="2:21" ht="19.149999999999999" customHeight="1">
      <c r="B717" s="606" t="s">
        <v>1157</v>
      </c>
      <c r="C717" s="655">
        <v>81</v>
      </c>
      <c r="D717" s="615">
        <v>750</v>
      </c>
      <c r="E717" s="608">
        <v>813300</v>
      </c>
      <c r="F717" s="609" t="s">
        <v>361</v>
      </c>
      <c r="G717" s="610"/>
      <c r="H717" s="610"/>
      <c r="I717" s="611" t="s">
        <v>175</v>
      </c>
      <c r="J717" s="616">
        <v>428</v>
      </c>
      <c r="K717" s="613">
        <v>412</v>
      </c>
      <c r="L717" s="616">
        <v>412</v>
      </c>
      <c r="M717" s="616">
        <v>388</v>
      </c>
      <c r="N717" s="614">
        <v>372.16399999999999</v>
      </c>
      <c r="O717" s="648"/>
      <c r="P717" s="648"/>
      <c r="R717" s="626"/>
      <c r="T717" s="633"/>
      <c r="U717" s="634"/>
    </row>
    <row r="718" spans="2:21" ht="19.149999999999999" customHeight="1">
      <c r="B718" s="606" t="s">
        <v>1157</v>
      </c>
      <c r="C718" s="655">
        <v>81</v>
      </c>
      <c r="D718" s="615">
        <v>755</v>
      </c>
      <c r="E718" s="608">
        <v>813300</v>
      </c>
      <c r="F718" s="609" t="s">
        <v>616</v>
      </c>
      <c r="G718" s="610"/>
      <c r="H718" s="610"/>
      <c r="I718" s="611" t="s">
        <v>44</v>
      </c>
      <c r="J718" s="616">
        <v>45</v>
      </c>
      <c r="K718" s="613">
        <v>30</v>
      </c>
      <c r="L718" s="616">
        <v>68</v>
      </c>
      <c r="M718" s="616">
        <v>71</v>
      </c>
      <c r="N718" s="614">
        <v>45.325800000000001</v>
      </c>
      <c r="O718" s="648"/>
      <c r="P718" s="648"/>
      <c r="R718" s="626"/>
      <c r="T718" s="633"/>
      <c r="U718" s="634"/>
    </row>
    <row r="719" spans="2:21" ht="19.149999999999999" customHeight="1">
      <c r="B719" s="606" t="s">
        <v>1157</v>
      </c>
      <c r="C719" s="654">
        <v>81</v>
      </c>
      <c r="D719" s="607">
        <v>756</v>
      </c>
      <c r="E719" s="608">
        <v>813300</v>
      </c>
      <c r="F719" s="609" t="s">
        <v>2317</v>
      </c>
      <c r="G719" s="610"/>
      <c r="H719" s="610"/>
      <c r="I719" s="611" t="s">
        <v>175</v>
      </c>
      <c r="J719" s="616">
        <v>41</v>
      </c>
      <c r="K719" s="613">
        <v>20</v>
      </c>
      <c r="L719" s="616">
        <v>61</v>
      </c>
      <c r="M719" s="616">
        <v>61</v>
      </c>
      <c r="N719" s="614">
        <v>0</v>
      </c>
      <c r="O719" s="648"/>
      <c r="P719" s="648"/>
      <c r="R719" s="626"/>
      <c r="T719" s="633"/>
      <c r="U719" s="634"/>
    </row>
    <row r="720" spans="2:21" ht="19.149999999999999" customHeight="1">
      <c r="B720" s="606" t="s">
        <v>1157</v>
      </c>
      <c r="C720" s="655">
        <v>81</v>
      </c>
      <c r="D720" s="615">
        <v>780</v>
      </c>
      <c r="E720" s="608">
        <v>813300</v>
      </c>
      <c r="F720" s="609" t="s">
        <v>2073</v>
      </c>
      <c r="G720" s="610"/>
      <c r="H720" s="610"/>
      <c r="I720" s="611" t="s">
        <v>44</v>
      </c>
      <c r="J720" s="616">
        <v>360</v>
      </c>
      <c r="K720" s="613">
        <v>302</v>
      </c>
      <c r="L720" s="616">
        <v>302</v>
      </c>
      <c r="M720" s="616">
        <v>317</v>
      </c>
      <c r="N720" s="614">
        <v>243.46145000000001</v>
      </c>
      <c r="O720" s="648"/>
      <c r="P720" s="648"/>
      <c r="R720" s="626"/>
      <c r="T720" s="633"/>
      <c r="U720" s="634"/>
    </row>
    <row r="721" spans="2:21" ht="14">
      <c r="B721" s="606" t="s">
        <v>1157</v>
      </c>
      <c r="C721" s="655">
        <v>81</v>
      </c>
      <c r="D721" s="615">
        <v>784</v>
      </c>
      <c r="E721" s="608">
        <v>813300</v>
      </c>
      <c r="F721" s="710" t="s">
        <v>29</v>
      </c>
      <c r="G721" s="610"/>
      <c r="H721" s="610"/>
      <c r="I721" s="611" t="s">
        <v>44</v>
      </c>
      <c r="J721" s="616">
        <f>207-71</f>
        <v>136</v>
      </c>
      <c r="K721" s="613">
        <v>207</v>
      </c>
      <c r="L721" s="616">
        <v>207</v>
      </c>
      <c r="M721" s="616">
        <v>143</v>
      </c>
      <c r="N721" s="614">
        <v>211.57859999999999</v>
      </c>
      <c r="O721" s="648"/>
      <c r="P721" s="648"/>
      <c r="R721" s="626"/>
      <c r="T721" s="633"/>
      <c r="U721" s="634"/>
    </row>
    <row r="722" spans="2:21" ht="19.149999999999999" customHeight="1">
      <c r="B722" s="747"/>
      <c r="C722" s="656"/>
      <c r="D722" s="618"/>
      <c r="E722" s="619" t="s">
        <v>822</v>
      </c>
      <c r="F722" s="620" t="s">
        <v>1158</v>
      </c>
      <c r="G722" s="621">
        <f>SUM(G703:G721)</f>
        <v>264.64999999999998</v>
      </c>
      <c r="H722" s="621">
        <f>SUM(H703:H721)</f>
        <v>222.82039999999947</v>
      </c>
      <c r="I722" s="622"/>
      <c r="J722" s="623">
        <f>SUM(J703:J721)</f>
        <v>38475</v>
      </c>
      <c r="K722" s="624">
        <f>SUM(K703:K721)</f>
        <v>35104</v>
      </c>
      <c r="L722" s="623">
        <f>SUM(L703:L721)</f>
        <v>36037</v>
      </c>
      <c r="M722" s="623">
        <f>SUM(M703:M721)</f>
        <v>36313</v>
      </c>
      <c r="N722" s="625">
        <f>SUM(N703:N721)</f>
        <v>30849.921419999995</v>
      </c>
      <c r="O722" s="648"/>
      <c r="P722" s="648"/>
      <c r="R722" s="626"/>
      <c r="T722" s="633"/>
      <c r="U722" s="632"/>
    </row>
    <row r="723" spans="2:21" ht="49.5" customHeight="1">
      <c r="B723" s="704"/>
      <c r="C723" s="684"/>
      <c r="D723" s="705"/>
      <c r="E723" s="695" t="s">
        <v>468</v>
      </c>
      <c r="F723" s="687" t="s">
        <v>1883</v>
      </c>
      <c r="G723" s="706"/>
      <c r="H723" s="706"/>
      <c r="I723" s="707"/>
      <c r="J723" s="690"/>
      <c r="K723" s="693"/>
      <c r="L723" s="690"/>
      <c r="M723" s="690"/>
      <c r="N723" s="708"/>
      <c r="O723" s="648"/>
      <c r="P723" s="648"/>
      <c r="R723" s="626"/>
      <c r="T723" s="633"/>
      <c r="U723" s="632"/>
    </row>
    <row r="724" spans="2:21" ht="19.149999999999999" customHeight="1">
      <c r="B724" s="606" t="s">
        <v>1003</v>
      </c>
      <c r="C724" s="654">
        <v>82</v>
      </c>
      <c r="D724" s="607">
        <v>103</v>
      </c>
      <c r="E724" s="608">
        <v>813600</v>
      </c>
      <c r="F724" s="788" t="s">
        <v>1899</v>
      </c>
      <c r="G724" s="610">
        <v>2.5</v>
      </c>
      <c r="H724" s="610">
        <v>2.5</v>
      </c>
      <c r="I724" s="611" t="s">
        <v>669</v>
      </c>
      <c r="J724" s="616">
        <v>635</v>
      </c>
      <c r="K724" s="613">
        <v>621</v>
      </c>
      <c r="L724" s="616">
        <v>629</v>
      </c>
      <c r="M724" s="616">
        <v>629</v>
      </c>
      <c r="N724" s="614">
        <v>602.06518999999992</v>
      </c>
      <c r="O724" s="648"/>
      <c r="P724" s="648"/>
      <c r="R724" s="626"/>
      <c r="T724" s="633"/>
      <c r="U724" s="634"/>
    </row>
    <row r="725" spans="2:21" ht="19.149999999999999" customHeight="1">
      <c r="B725" s="606" t="s">
        <v>1003</v>
      </c>
      <c r="C725" s="654">
        <v>81</v>
      </c>
      <c r="D725" s="607">
        <v>105</v>
      </c>
      <c r="E725" s="608">
        <v>813600</v>
      </c>
      <c r="F725" s="609" t="s">
        <v>1594</v>
      </c>
      <c r="G725" s="610">
        <v>2.5</v>
      </c>
      <c r="H725" s="610">
        <v>2.8051166666666667</v>
      </c>
      <c r="I725" s="611" t="s">
        <v>669</v>
      </c>
      <c r="J725" s="616">
        <v>430</v>
      </c>
      <c r="K725" s="613">
        <v>429</v>
      </c>
      <c r="L725" s="616">
        <v>429</v>
      </c>
      <c r="M725" s="616">
        <v>379</v>
      </c>
      <c r="N725" s="614">
        <v>323.34084000000001</v>
      </c>
      <c r="O725" s="648"/>
      <c r="P725" s="648"/>
      <c r="R725" s="626"/>
      <c r="T725" s="633"/>
      <c r="U725" s="634"/>
    </row>
    <row r="726" spans="2:21" ht="19.149999999999999" customHeight="1">
      <c r="B726" s="789" t="s">
        <v>1003</v>
      </c>
      <c r="C726" s="790">
        <v>81</v>
      </c>
      <c r="D726" s="758">
        <v>106</v>
      </c>
      <c r="E726" s="791">
        <v>813600</v>
      </c>
      <c r="F726" s="792" t="s">
        <v>117</v>
      </c>
      <c r="G726" s="610">
        <v>4</v>
      </c>
      <c r="H726" s="610">
        <v>3.0746499999999997</v>
      </c>
      <c r="I726" s="611" t="s">
        <v>669</v>
      </c>
      <c r="J726" s="616">
        <v>360</v>
      </c>
      <c r="K726" s="613">
        <v>280</v>
      </c>
      <c r="L726" s="616">
        <v>281</v>
      </c>
      <c r="M726" s="616">
        <v>361</v>
      </c>
      <c r="N726" s="614">
        <v>320.88146</v>
      </c>
      <c r="O726" s="648"/>
      <c r="P726" s="648"/>
      <c r="R726" s="626"/>
      <c r="T726" s="633"/>
      <c r="U726" s="634"/>
    </row>
    <row r="727" spans="2:21" ht="19.149999999999999" customHeight="1">
      <c r="B727" s="789" t="s">
        <v>1003</v>
      </c>
      <c r="C727" s="790">
        <v>10</v>
      </c>
      <c r="D727" s="758">
        <v>570</v>
      </c>
      <c r="E727" s="791">
        <v>813600</v>
      </c>
      <c r="F727" s="792" t="s">
        <v>259</v>
      </c>
      <c r="G727" s="610"/>
      <c r="H727" s="610"/>
      <c r="I727" s="611" t="s">
        <v>175</v>
      </c>
      <c r="J727" s="616">
        <v>790</v>
      </c>
      <c r="K727" s="613">
        <v>524</v>
      </c>
      <c r="L727" s="616">
        <v>524</v>
      </c>
      <c r="M727" s="616">
        <v>350</v>
      </c>
      <c r="N727" s="614">
        <v>264.48689000000002</v>
      </c>
      <c r="O727" s="648"/>
      <c r="P727" s="648"/>
      <c r="R727" s="626"/>
      <c r="T727" s="633"/>
      <c r="U727" s="634"/>
    </row>
    <row r="728" spans="2:21" ht="21.5">
      <c r="B728" s="606" t="s">
        <v>1003</v>
      </c>
      <c r="C728" s="655">
        <v>10</v>
      </c>
      <c r="D728" s="615">
        <v>750</v>
      </c>
      <c r="E728" s="608">
        <v>813600</v>
      </c>
      <c r="F728" s="788" t="s">
        <v>1285</v>
      </c>
      <c r="G728" s="610"/>
      <c r="H728" s="610"/>
      <c r="I728" s="611" t="s">
        <v>175</v>
      </c>
      <c r="J728" s="616">
        <f>1545-130</f>
        <v>1415</v>
      </c>
      <c r="K728" s="613">
        <v>1410</v>
      </c>
      <c r="L728" s="616">
        <v>1410</v>
      </c>
      <c r="M728" s="616">
        <v>1545</v>
      </c>
      <c r="N728" s="614">
        <v>1515.98828</v>
      </c>
      <c r="O728" s="648"/>
      <c r="P728" s="648"/>
      <c r="R728" s="626"/>
      <c r="T728" s="633"/>
      <c r="U728" s="634"/>
    </row>
    <row r="729" spans="2:21" ht="19.149999999999999" customHeight="1">
      <c r="B729" s="606" t="s">
        <v>1003</v>
      </c>
      <c r="C729" s="654">
        <v>82</v>
      </c>
      <c r="D729" s="607">
        <v>751</v>
      </c>
      <c r="E729" s="608">
        <v>813600</v>
      </c>
      <c r="F729" s="609" t="s">
        <v>1875</v>
      </c>
      <c r="G729" s="610"/>
      <c r="H729" s="610"/>
      <c r="I729" s="611" t="s">
        <v>175</v>
      </c>
      <c r="J729" s="616">
        <v>63</v>
      </c>
      <c r="K729" s="613">
        <v>63</v>
      </c>
      <c r="L729" s="616">
        <v>63</v>
      </c>
      <c r="M729" s="616">
        <v>63</v>
      </c>
      <c r="N729" s="614">
        <v>42.176569999999998</v>
      </c>
      <c r="O729" s="648"/>
      <c r="P729" s="648"/>
      <c r="R729" s="626"/>
      <c r="T729" s="633"/>
      <c r="U729" s="634"/>
    </row>
    <row r="730" spans="2:21" ht="28">
      <c r="B730" s="606" t="s">
        <v>1003</v>
      </c>
      <c r="C730" s="654">
        <v>82</v>
      </c>
      <c r="D730" s="607">
        <v>780</v>
      </c>
      <c r="E730" s="608">
        <v>813600</v>
      </c>
      <c r="F730" s="788" t="s">
        <v>1971</v>
      </c>
      <c r="G730" s="610"/>
      <c r="H730" s="610"/>
      <c r="I730" s="611" t="s">
        <v>44</v>
      </c>
      <c r="J730" s="616">
        <v>90</v>
      </c>
      <c r="K730" s="613">
        <v>96</v>
      </c>
      <c r="L730" s="616">
        <v>96</v>
      </c>
      <c r="M730" s="616">
        <v>96</v>
      </c>
      <c r="N730" s="614">
        <v>96</v>
      </c>
      <c r="O730" s="648"/>
      <c r="P730" s="648"/>
      <c r="R730" s="626"/>
      <c r="T730" s="633"/>
      <c r="U730" s="634"/>
    </row>
    <row r="731" spans="2:21" ht="19.149999999999999" customHeight="1">
      <c r="B731" s="606" t="s">
        <v>1003</v>
      </c>
      <c r="C731" s="654">
        <v>82</v>
      </c>
      <c r="D731" s="607">
        <v>781</v>
      </c>
      <c r="E731" s="608">
        <v>813600</v>
      </c>
      <c r="F731" s="788" t="s">
        <v>1239</v>
      </c>
      <c r="G731" s="610"/>
      <c r="H731" s="610"/>
      <c r="I731" s="611" t="s">
        <v>44</v>
      </c>
      <c r="J731" s="616">
        <v>137</v>
      </c>
      <c r="K731" s="613">
        <v>144</v>
      </c>
      <c r="L731" s="616">
        <v>144</v>
      </c>
      <c r="M731" s="616">
        <v>144</v>
      </c>
      <c r="N731" s="614">
        <v>143.96681000000001</v>
      </c>
      <c r="O731" s="648"/>
      <c r="P731" s="648"/>
      <c r="R731" s="626"/>
      <c r="T731" s="633"/>
      <c r="U731" s="634"/>
    </row>
    <row r="732" spans="2:21" ht="21.5">
      <c r="B732" s="606" t="s">
        <v>1003</v>
      </c>
      <c r="C732" s="655">
        <v>81</v>
      </c>
      <c r="D732" s="615">
        <v>782</v>
      </c>
      <c r="E732" s="608">
        <v>813600</v>
      </c>
      <c r="F732" s="788" t="s">
        <v>1302</v>
      </c>
      <c r="G732" s="610"/>
      <c r="H732" s="610"/>
      <c r="I732" s="611" t="s">
        <v>44</v>
      </c>
      <c r="J732" s="616">
        <f>82-28</f>
        <v>54</v>
      </c>
      <c r="K732" s="613">
        <v>83</v>
      </c>
      <c r="L732" s="616">
        <v>83</v>
      </c>
      <c r="M732" s="616">
        <v>57</v>
      </c>
      <c r="N732" s="614">
        <v>64.073300000000003</v>
      </c>
      <c r="O732" s="648"/>
      <c r="P732" s="648"/>
      <c r="R732" s="626"/>
      <c r="T732" s="633"/>
      <c r="U732" s="634"/>
    </row>
    <row r="733" spans="2:21" ht="19.149999999999999" customHeight="1">
      <c r="B733" s="606" t="s">
        <v>1003</v>
      </c>
      <c r="C733" s="655">
        <v>81</v>
      </c>
      <c r="D733" s="615">
        <v>783</v>
      </c>
      <c r="E733" s="608">
        <v>813600</v>
      </c>
      <c r="F733" s="710" t="s">
        <v>1596</v>
      </c>
      <c r="G733" s="610"/>
      <c r="H733" s="610"/>
      <c r="I733" s="611" t="s">
        <v>44</v>
      </c>
      <c r="J733" s="616">
        <f>150-50</f>
        <v>100</v>
      </c>
      <c r="K733" s="613">
        <v>150</v>
      </c>
      <c r="L733" s="616">
        <v>150</v>
      </c>
      <c r="M733" s="616">
        <v>100</v>
      </c>
      <c r="N733" s="614">
        <v>128</v>
      </c>
      <c r="O733" s="648"/>
      <c r="P733" s="648"/>
      <c r="R733" s="626"/>
      <c r="T733" s="633"/>
      <c r="U733" s="634"/>
    </row>
    <row r="734" spans="2:21" ht="28">
      <c r="B734" s="606" t="s">
        <v>1003</v>
      </c>
      <c r="C734" s="654">
        <v>81</v>
      </c>
      <c r="D734" s="607">
        <v>784</v>
      </c>
      <c r="E734" s="608">
        <v>813600</v>
      </c>
      <c r="F734" s="710" t="s">
        <v>1962</v>
      </c>
      <c r="G734" s="610"/>
      <c r="H734" s="610"/>
      <c r="I734" s="611" t="s">
        <v>44</v>
      </c>
      <c r="J734" s="616">
        <v>0</v>
      </c>
      <c r="K734" s="613">
        <v>0</v>
      </c>
      <c r="L734" s="616">
        <v>0</v>
      </c>
      <c r="M734" s="616">
        <v>0</v>
      </c>
      <c r="N734" s="614">
        <v>249.68199999999999</v>
      </c>
      <c r="O734" s="648"/>
      <c r="P734" s="648"/>
      <c r="R734" s="626"/>
      <c r="T734" s="633"/>
      <c r="U734" s="634"/>
    </row>
    <row r="735" spans="2:21" ht="21.5">
      <c r="B735" s="606" t="s">
        <v>1003</v>
      </c>
      <c r="C735" s="655">
        <v>81</v>
      </c>
      <c r="D735" s="615">
        <v>785</v>
      </c>
      <c r="E735" s="608">
        <v>813600</v>
      </c>
      <c r="F735" s="710" t="s">
        <v>2098</v>
      </c>
      <c r="G735" s="610"/>
      <c r="H735" s="610"/>
      <c r="I735" s="611" t="s">
        <v>44</v>
      </c>
      <c r="J735" s="616">
        <v>600</v>
      </c>
      <c r="K735" s="613">
        <v>670</v>
      </c>
      <c r="L735" s="616">
        <v>670</v>
      </c>
      <c r="M735" s="616">
        <v>600</v>
      </c>
      <c r="N735" s="614">
        <v>597.56677999999999</v>
      </c>
      <c r="O735" s="648"/>
      <c r="P735" s="648"/>
      <c r="R735" s="626"/>
      <c r="T735" s="633"/>
      <c r="U735" s="634"/>
    </row>
    <row r="736" spans="2:21" ht="19.149999999999999" customHeight="1">
      <c r="B736" s="606" t="s">
        <v>1003</v>
      </c>
      <c r="C736" s="655">
        <v>81</v>
      </c>
      <c r="D736" s="615">
        <v>786</v>
      </c>
      <c r="E736" s="608">
        <v>813600</v>
      </c>
      <c r="F736" s="710" t="s">
        <v>118</v>
      </c>
      <c r="G736" s="610"/>
      <c r="H736" s="610"/>
      <c r="I736" s="611" t="s">
        <v>44</v>
      </c>
      <c r="J736" s="616">
        <v>214</v>
      </c>
      <c r="K736" s="613">
        <v>176</v>
      </c>
      <c r="L736" s="616">
        <v>176</v>
      </c>
      <c r="M736" s="616">
        <v>215</v>
      </c>
      <c r="N736" s="614">
        <v>209.06428</v>
      </c>
      <c r="O736" s="648"/>
      <c r="P736" s="648"/>
      <c r="R736" s="626"/>
      <c r="T736" s="633"/>
      <c r="U736" s="634"/>
    </row>
    <row r="737" spans="2:21" ht="28">
      <c r="B737" s="606" t="s">
        <v>1003</v>
      </c>
      <c r="C737" s="654">
        <v>81</v>
      </c>
      <c r="D737" s="607">
        <v>787</v>
      </c>
      <c r="E737" s="608">
        <v>813600</v>
      </c>
      <c r="F737" s="710" t="s">
        <v>2309</v>
      </c>
      <c r="G737" s="610"/>
      <c r="H737" s="610"/>
      <c r="I737" s="611" t="s">
        <v>175</v>
      </c>
      <c r="J737" s="616">
        <v>305</v>
      </c>
      <c r="K737" s="613">
        <v>305</v>
      </c>
      <c r="L737" s="616">
        <v>305</v>
      </c>
      <c r="M737" s="616">
        <v>420</v>
      </c>
      <c r="N737" s="614">
        <v>141.79314000000002</v>
      </c>
      <c r="O737" s="648"/>
      <c r="P737" s="648"/>
      <c r="R737" s="626"/>
      <c r="T737" s="633"/>
      <c r="U737" s="634"/>
    </row>
    <row r="738" spans="2:21" ht="21.5">
      <c r="B738" s="606" t="s">
        <v>1003</v>
      </c>
      <c r="C738" s="655">
        <v>81</v>
      </c>
      <c r="D738" s="615">
        <v>789</v>
      </c>
      <c r="E738" s="608">
        <v>813600</v>
      </c>
      <c r="F738" s="710" t="s">
        <v>1613</v>
      </c>
      <c r="G738" s="610"/>
      <c r="H738" s="610"/>
      <c r="I738" s="611" t="s">
        <v>44</v>
      </c>
      <c r="J738" s="616">
        <f>100-100</f>
        <v>0</v>
      </c>
      <c r="K738" s="613">
        <v>99</v>
      </c>
      <c r="L738" s="616">
        <v>99</v>
      </c>
      <c r="M738" s="616">
        <v>220</v>
      </c>
      <c r="N738" s="614">
        <v>310</v>
      </c>
      <c r="O738" s="648"/>
      <c r="P738" s="648"/>
      <c r="R738" s="626"/>
      <c r="T738" s="633"/>
      <c r="U738" s="634"/>
    </row>
    <row r="739" spans="2:21" ht="28">
      <c r="B739" s="606" t="s">
        <v>1003</v>
      </c>
      <c r="C739" s="654">
        <v>82</v>
      </c>
      <c r="D739" s="607">
        <v>871</v>
      </c>
      <c r="E739" s="608">
        <v>813600</v>
      </c>
      <c r="F739" s="710" t="s">
        <v>2059</v>
      </c>
      <c r="G739" s="610"/>
      <c r="H739" s="610"/>
      <c r="I739" s="611" t="s">
        <v>175</v>
      </c>
      <c r="J739" s="616">
        <v>314</v>
      </c>
      <c r="K739" s="613">
        <v>314</v>
      </c>
      <c r="L739" s="616">
        <v>314</v>
      </c>
      <c r="M739" s="616">
        <v>314</v>
      </c>
      <c r="N739" s="614">
        <v>314</v>
      </c>
      <c r="O739" s="648"/>
      <c r="P739" s="648"/>
      <c r="R739" s="626"/>
      <c r="T739" s="633"/>
      <c r="U739" s="634"/>
    </row>
    <row r="740" spans="2:21" ht="28">
      <c r="B740" s="606" t="s">
        <v>1003</v>
      </c>
      <c r="C740" s="654">
        <v>82</v>
      </c>
      <c r="D740" s="607">
        <v>873</v>
      </c>
      <c r="E740" s="608">
        <v>813600</v>
      </c>
      <c r="F740" s="710" t="s">
        <v>1972</v>
      </c>
      <c r="G740" s="610"/>
      <c r="H740" s="610"/>
      <c r="I740" s="611" t="s">
        <v>175</v>
      </c>
      <c r="J740" s="616">
        <v>545</v>
      </c>
      <c r="K740" s="613">
        <v>545</v>
      </c>
      <c r="L740" s="616">
        <v>545</v>
      </c>
      <c r="M740" s="616">
        <v>545</v>
      </c>
      <c r="N740" s="614">
        <v>545</v>
      </c>
      <c r="O740" s="648"/>
      <c r="P740" s="648"/>
      <c r="R740" s="626"/>
      <c r="T740" s="633"/>
      <c r="U740" s="634"/>
    </row>
    <row r="741" spans="2:21" ht="42">
      <c r="B741" s="606" t="s">
        <v>1003</v>
      </c>
      <c r="C741" s="654">
        <v>82</v>
      </c>
      <c r="D741" s="607">
        <v>874</v>
      </c>
      <c r="E741" s="608">
        <v>813600</v>
      </c>
      <c r="F741" s="710" t="s">
        <v>1973</v>
      </c>
      <c r="G741" s="610"/>
      <c r="H741" s="610"/>
      <c r="I741" s="611" t="s">
        <v>44</v>
      </c>
      <c r="J741" s="616">
        <v>95</v>
      </c>
      <c r="K741" s="613">
        <v>95</v>
      </c>
      <c r="L741" s="616">
        <v>95</v>
      </c>
      <c r="M741" s="616">
        <v>95</v>
      </c>
      <c r="N741" s="614">
        <v>95</v>
      </c>
      <c r="O741" s="648"/>
      <c r="P741" s="648"/>
      <c r="R741" s="626"/>
      <c r="T741" s="633"/>
      <c r="U741" s="634"/>
    </row>
    <row r="742" spans="2:21" ht="28">
      <c r="B742" s="606" t="s">
        <v>1003</v>
      </c>
      <c r="C742" s="654">
        <v>82</v>
      </c>
      <c r="D742" s="607">
        <v>875</v>
      </c>
      <c r="E742" s="608">
        <v>813600</v>
      </c>
      <c r="F742" s="710" t="s">
        <v>2060</v>
      </c>
      <c r="G742" s="610"/>
      <c r="H742" s="610"/>
      <c r="I742" s="611" t="s">
        <v>44</v>
      </c>
      <c r="J742" s="616">
        <v>82</v>
      </c>
      <c r="K742" s="613">
        <v>82</v>
      </c>
      <c r="L742" s="616">
        <v>82</v>
      </c>
      <c r="M742" s="616">
        <v>82</v>
      </c>
      <c r="N742" s="614">
        <v>82</v>
      </c>
      <c r="O742" s="648"/>
      <c r="P742" s="648"/>
      <c r="R742" s="626"/>
      <c r="T742" s="633"/>
      <c r="U742" s="634"/>
    </row>
    <row r="743" spans="2:21" ht="28">
      <c r="B743" s="606" t="s">
        <v>1003</v>
      </c>
      <c r="C743" s="654">
        <v>82</v>
      </c>
      <c r="D743" s="607">
        <v>876</v>
      </c>
      <c r="E743" s="608">
        <v>813600</v>
      </c>
      <c r="F743" s="609" t="s">
        <v>2061</v>
      </c>
      <c r="G743" s="610"/>
      <c r="H743" s="610"/>
      <c r="I743" s="611" t="s">
        <v>175</v>
      </c>
      <c r="J743" s="616">
        <v>130</v>
      </c>
      <c r="K743" s="613">
        <v>130</v>
      </c>
      <c r="L743" s="616">
        <v>130</v>
      </c>
      <c r="M743" s="616">
        <v>130</v>
      </c>
      <c r="N743" s="614">
        <v>70</v>
      </c>
      <c r="O743" s="648"/>
      <c r="P743" s="648"/>
      <c r="R743" s="626"/>
      <c r="T743" s="633"/>
      <c r="U743" s="634"/>
    </row>
    <row r="744" spans="2:21" ht="19.149999999999999" customHeight="1">
      <c r="B744" s="606" t="s">
        <v>1003</v>
      </c>
      <c r="C744" s="655">
        <v>82</v>
      </c>
      <c r="D744" s="615">
        <v>877</v>
      </c>
      <c r="E744" s="608">
        <v>813600</v>
      </c>
      <c r="F744" s="710" t="s">
        <v>637</v>
      </c>
      <c r="G744" s="610"/>
      <c r="H744" s="610"/>
      <c r="I744" s="611" t="s">
        <v>44</v>
      </c>
      <c r="J744" s="616">
        <v>85</v>
      </c>
      <c r="K744" s="613">
        <v>101</v>
      </c>
      <c r="L744" s="616">
        <v>101</v>
      </c>
      <c r="M744" s="616">
        <v>121</v>
      </c>
      <c r="N744" s="614">
        <v>120.58510000000001</v>
      </c>
      <c r="O744" s="648"/>
      <c r="P744" s="648"/>
      <c r="R744" s="626"/>
      <c r="T744" s="633"/>
      <c r="U744" s="634"/>
    </row>
    <row r="745" spans="2:21" ht="32">
      <c r="B745" s="606" t="s">
        <v>1070</v>
      </c>
      <c r="C745" s="654">
        <v>81</v>
      </c>
      <c r="D745" s="1090">
        <v>782</v>
      </c>
      <c r="E745" s="1091">
        <v>813601</v>
      </c>
      <c r="F745" s="1099" t="s">
        <v>2201</v>
      </c>
      <c r="G745" s="610"/>
      <c r="H745" s="610"/>
      <c r="I745" s="611" t="s">
        <v>44</v>
      </c>
      <c r="J745" s="616">
        <v>130</v>
      </c>
      <c r="K745" s="613">
        <v>130</v>
      </c>
      <c r="L745" s="1093">
        <v>130</v>
      </c>
      <c r="M745" s="616">
        <v>0</v>
      </c>
      <c r="N745" s="614">
        <v>0</v>
      </c>
      <c r="O745" s="648"/>
      <c r="P745" s="648"/>
      <c r="R745" s="626"/>
      <c r="T745" s="633"/>
      <c r="U745" s="634"/>
    </row>
    <row r="746" spans="2:21" ht="33.75" customHeight="1">
      <c r="B746" s="749"/>
      <c r="C746" s="712"/>
      <c r="D746" s="713"/>
      <c r="E746" s="714" t="s">
        <v>468</v>
      </c>
      <c r="F746" s="715" t="s">
        <v>1341</v>
      </c>
      <c r="G746" s="621">
        <f>SUM(G724:G745)</f>
        <v>9</v>
      </c>
      <c r="H746" s="621">
        <f>SUM(H724:H745)</f>
        <v>8.3797666666666668</v>
      </c>
      <c r="I746" s="794"/>
      <c r="J746" s="718">
        <f>SUM(J724:J745)</f>
        <v>6574</v>
      </c>
      <c r="K746" s="719">
        <f>SUM(K724:K745)</f>
        <v>6447</v>
      </c>
      <c r="L746" s="718">
        <f>SUM(L724:L745)</f>
        <v>6456</v>
      </c>
      <c r="M746" s="718">
        <f>SUM(M724:M745)</f>
        <v>6466</v>
      </c>
      <c r="N746" s="720">
        <f>SUM(N724:N745)</f>
        <v>6235.6706399999994</v>
      </c>
      <c r="O746" s="648"/>
      <c r="P746" s="648"/>
      <c r="R746" s="626"/>
      <c r="T746" s="633"/>
      <c r="U746" s="632"/>
    </row>
    <row r="747" spans="2:21" ht="19.149999999999999" customHeight="1">
      <c r="B747" s="704"/>
      <c r="C747" s="684"/>
      <c r="D747" s="705"/>
      <c r="E747" s="695" t="s">
        <v>1062</v>
      </c>
      <c r="F747" s="687" t="s">
        <v>2281</v>
      </c>
      <c r="G747" s="706"/>
      <c r="H747" s="706"/>
      <c r="I747" s="707"/>
      <c r="J747" s="690"/>
      <c r="K747" s="693"/>
      <c r="L747" s="690"/>
      <c r="M747" s="690"/>
      <c r="N747" s="708"/>
      <c r="O747" s="648"/>
      <c r="P747" s="648"/>
      <c r="R747" s="626"/>
      <c r="T747" s="633"/>
      <c r="U747" s="632"/>
    </row>
    <row r="748" spans="2:21" ht="19.149999999999999" customHeight="1">
      <c r="B748" s="606" t="s">
        <v>1070</v>
      </c>
      <c r="C748" s="655">
        <v>81</v>
      </c>
      <c r="D748" s="615">
        <v>780</v>
      </c>
      <c r="E748" s="608">
        <v>813601</v>
      </c>
      <c r="F748" s="710" t="s">
        <v>1691</v>
      </c>
      <c r="G748" s="610"/>
      <c r="H748" s="610"/>
      <c r="I748" s="611" t="s">
        <v>44</v>
      </c>
      <c r="J748" s="616">
        <v>251</v>
      </c>
      <c r="K748" s="613">
        <v>251</v>
      </c>
      <c r="L748" s="616">
        <v>251</v>
      </c>
      <c r="M748" s="616">
        <v>264</v>
      </c>
      <c r="N748" s="614">
        <v>263.99979999999999</v>
      </c>
      <c r="O748" s="648"/>
      <c r="P748" s="648"/>
      <c r="R748" s="626"/>
      <c r="T748" s="633"/>
      <c r="U748" s="634"/>
    </row>
    <row r="749" spans="2:21" ht="19.149999999999999" customHeight="1">
      <c r="B749" s="606" t="s">
        <v>1070</v>
      </c>
      <c r="C749" s="654">
        <v>82</v>
      </c>
      <c r="D749" s="1090">
        <v>781</v>
      </c>
      <c r="E749" s="1091">
        <v>813601</v>
      </c>
      <c r="F749" s="1099" t="s">
        <v>1586</v>
      </c>
      <c r="G749" s="610"/>
      <c r="H749" s="610"/>
      <c r="I749" s="611" t="s">
        <v>44</v>
      </c>
      <c r="J749" s="616">
        <v>80</v>
      </c>
      <c r="K749" s="613">
        <v>0</v>
      </c>
      <c r="L749" s="616">
        <v>86</v>
      </c>
      <c r="M749" s="616">
        <v>86</v>
      </c>
      <c r="N749" s="614">
        <v>113.27028</v>
      </c>
      <c r="O749" s="648"/>
      <c r="P749" s="648"/>
      <c r="R749" s="626"/>
      <c r="T749" s="633"/>
      <c r="U749" s="634"/>
    </row>
    <row r="750" spans="2:21" ht="19.149999999999999" customHeight="1">
      <c r="B750" s="749"/>
      <c r="C750" s="712"/>
      <c r="D750" s="713"/>
      <c r="E750" s="714" t="s">
        <v>1062</v>
      </c>
      <c r="F750" s="715" t="s">
        <v>1063</v>
      </c>
      <c r="G750" s="621">
        <f>SUM(G748:G749)</f>
        <v>0</v>
      </c>
      <c r="H750" s="621">
        <f>SUM(H748:H749)</f>
        <v>0</v>
      </c>
      <c r="I750" s="794"/>
      <c r="J750" s="718">
        <f>SUM(J748:J749)</f>
        <v>331</v>
      </c>
      <c r="K750" s="719">
        <f>SUM(K748:K749)</f>
        <v>251</v>
      </c>
      <c r="L750" s="718">
        <f>SUM(L748:L749)</f>
        <v>337</v>
      </c>
      <c r="M750" s="718">
        <f>SUM(M748:M749)</f>
        <v>350</v>
      </c>
      <c r="N750" s="720">
        <f>SUM(N748:N749)</f>
        <v>377.27008000000001</v>
      </c>
      <c r="O750" s="648"/>
      <c r="P750" s="648"/>
      <c r="R750" s="626"/>
      <c r="T750" s="633"/>
      <c r="U750" s="632"/>
    </row>
    <row r="751" spans="2:21" ht="19.149999999999999" customHeight="1">
      <c r="B751" s="704"/>
      <c r="C751" s="684"/>
      <c r="D751" s="705"/>
      <c r="E751" s="695" t="s">
        <v>1361</v>
      </c>
      <c r="F751" s="687" t="s">
        <v>1412</v>
      </c>
      <c r="G751" s="706"/>
      <c r="H751" s="706"/>
      <c r="I751" s="707"/>
      <c r="J751" s="690"/>
      <c r="K751" s="693"/>
      <c r="L751" s="690"/>
      <c r="M751" s="690"/>
      <c r="N751" s="708"/>
      <c r="O751" s="648"/>
      <c r="P751" s="648"/>
      <c r="R751" s="626"/>
      <c r="T751" s="633"/>
      <c r="U751" s="632"/>
    </row>
    <row r="752" spans="2:21" ht="19.149999999999999" customHeight="1">
      <c r="B752" s="606" t="s">
        <v>1362</v>
      </c>
      <c r="C752" s="654">
        <v>81</v>
      </c>
      <c r="D752" s="607">
        <v>100</v>
      </c>
      <c r="E752" s="608">
        <v>813800</v>
      </c>
      <c r="F752" s="609" t="s">
        <v>1058</v>
      </c>
      <c r="G752" s="610">
        <v>0</v>
      </c>
      <c r="H752" s="610">
        <v>0</v>
      </c>
      <c r="I752" s="611" t="s">
        <v>669</v>
      </c>
      <c r="J752" s="616">
        <v>64</v>
      </c>
      <c r="K752" s="613">
        <v>60</v>
      </c>
      <c r="L752" s="616">
        <v>63</v>
      </c>
      <c r="M752" s="616">
        <v>63</v>
      </c>
      <c r="N752" s="614">
        <v>0</v>
      </c>
      <c r="O752" s="648"/>
      <c r="P752" s="648"/>
      <c r="R752" s="626"/>
      <c r="T752" s="633"/>
      <c r="U752" s="634"/>
    </row>
    <row r="753" spans="2:21" ht="19.149999999999999" customHeight="1">
      <c r="B753" s="606" t="s">
        <v>1362</v>
      </c>
      <c r="C753" s="654">
        <v>81</v>
      </c>
      <c r="D753" s="607">
        <v>101</v>
      </c>
      <c r="E753" s="608">
        <v>813800</v>
      </c>
      <c r="F753" s="609" t="s">
        <v>1243</v>
      </c>
      <c r="G753" s="610">
        <v>0</v>
      </c>
      <c r="H753" s="610">
        <v>0</v>
      </c>
      <c r="I753" s="611" t="s">
        <v>669</v>
      </c>
      <c r="J753" s="616">
        <v>51</v>
      </c>
      <c r="K753" s="613">
        <v>50</v>
      </c>
      <c r="L753" s="616">
        <v>50</v>
      </c>
      <c r="M753" s="616">
        <v>20</v>
      </c>
      <c r="N753" s="614">
        <v>0</v>
      </c>
      <c r="O753" s="648"/>
      <c r="P753" s="648"/>
      <c r="R753" s="626"/>
      <c r="T753" s="633"/>
      <c r="U753" s="634"/>
    </row>
    <row r="754" spans="2:21" ht="19.149999999999999" customHeight="1">
      <c r="B754" s="606" t="s">
        <v>1362</v>
      </c>
      <c r="C754" s="654">
        <v>81</v>
      </c>
      <c r="D754" s="607">
        <v>102</v>
      </c>
      <c r="E754" s="608">
        <v>813800</v>
      </c>
      <c r="F754" s="609" t="s">
        <v>1636</v>
      </c>
      <c r="G754" s="610">
        <v>0</v>
      </c>
      <c r="H754" s="610">
        <v>0</v>
      </c>
      <c r="I754" s="611" t="s">
        <v>669</v>
      </c>
      <c r="J754" s="616">
        <v>29</v>
      </c>
      <c r="K754" s="613">
        <v>0</v>
      </c>
      <c r="L754" s="616">
        <v>0</v>
      </c>
      <c r="M754" s="616">
        <v>29</v>
      </c>
      <c r="N754" s="614">
        <v>27.654319999999998</v>
      </c>
      <c r="O754" s="648"/>
      <c r="P754" s="648"/>
      <c r="R754" s="626"/>
      <c r="T754" s="633"/>
      <c r="U754" s="634"/>
    </row>
    <row r="755" spans="2:21" ht="19.149999999999999" customHeight="1">
      <c r="B755" s="606" t="s">
        <v>1362</v>
      </c>
      <c r="C755" s="654">
        <v>81</v>
      </c>
      <c r="D755" s="607">
        <v>103</v>
      </c>
      <c r="E755" s="608">
        <v>813800</v>
      </c>
      <c r="F755" s="609" t="s">
        <v>2151</v>
      </c>
      <c r="G755" s="610"/>
      <c r="H755" s="610"/>
      <c r="I755" s="611" t="s">
        <v>669</v>
      </c>
      <c r="J755" s="616">
        <v>0</v>
      </c>
      <c r="K755" s="613">
        <v>260</v>
      </c>
      <c r="L755" s="616">
        <v>260</v>
      </c>
      <c r="M755" s="616">
        <v>0</v>
      </c>
      <c r="N755" s="614">
        <v>0</v>
      </c>
      <c r="O755" s="648"/>
      <c r="P755" s="648"/>
      <c r="R755" s="626"/>
      <c r="T755" s="633"/>
      <c r="U755" s="634"/>
    </row>
    <row r="756" spans="2:21" ht="19.149999999999999" customHeight="1">
      <c r="B756" s="606" t="s">
        <v>1362</v>
      </c>
      <c r="C756" s="655">
        <v>81</v>
      </c>
      <c r="D756" s="615">
        <v>750</v>
      </c>
      <c r="E756" s="608">
        <v>813800</v>
      </c>
      <c r="F756" s="609" t="s">
        <v>720</v>
      </c>
      <c r="G756" s="610"/>
      <c r="H756" s="610"/>
      <c r="I756" s="611" t="s">
        <v>175</v>
      </c>
      <c r="J756" s="616">
        <v>147</v>
      </c>
      <c r="K756" s="613">
        <v>374</v>
      </c>
      <c r="L756" s="616">
        <v>430</v>
      </c>
      <c r="M756" s="616">
        <v>147</v>
      </c>
      <c r="N756" s="614">
        <v>146.97067999999999</v>
      </c>
      <c r="O756" s="648"/>
      <c r="P756" s="648"/>
      <c r="R756" s="626"/>
      <c r="T756" s="633"/>
      <c r="U756" s="634"/>
    </row>
    <row r="757" spans="2:21" ht="19.149999999999999" customHeight="1">
      <c r="B757" s="606" t="s">
        <v>1362</v>
      </c>
      <c r="C757" s="654">
        <v>9</v>
      </c>
      <c r="D757" s="607">
        <v>751</v>
      </c>
      <c r="E757" s="608">
        <v>813800</v>
      </c>
      <c r="F757" s="609" t="s">
        <v>1145</v>
      </c>
      <c r="G757" s="610"/>
      <c r="H757" s="610"/>
      <c r="I757" s="611" t="s">
        <v>175</v>
      </c>
      <c r="J757" s="616">
        <v>80</v>
      </c>
      <c r="K757" s="613">
        <v>134</v>
      </c>
      <c r="L757" s="616">
        <v>134</v>
      </c>
      <c r="M757" s="616">
        <v>80</v>
      </c>
      <c r="N757" s="614">
        <v>80</v>
      </c>
      <c r="O757" s="648"/>
      <c r="P757" s="648"/>
      <c r="R757" s="626"/>
      <c r="T757" s="633"/>
      <c r="U757" s="634"/>
    </row>
    <row r="758" spans="2:21" ht="19.149999999999999" customHeight="1">
      <c r="B758" s="606" t="s">
        <v>1362</v>
      </c>
      <c r="C758" s="654">
        <v>81</v>
      </c>
      <c r="D758" s="607">
        <v>752</v>
      </c>
      <c r="E758" s="608">
        <v>813800</v>
      </c>
      <c r="F758" s="775" t="s">
        <v>1363</v>
      </c>
      <c r="G758" s="610"/>
      <c r="H758" s="610"/>
      <c r="I758" s="611" t="s">
        <v>44</v>
      </c>
      <c r="J758" s="616">
        <v>40</v>
      </c>
      <c r="K758" s="613">
        <v>40</v>
      </c>
      <c r="L758" s="616">
        <v>40</v>
      </c>
      <c r="M758" s="616">
        <v>40</v>
      </c>
      <c r="N758" s="614">
        <v>0</v>
      </c>
      <c r="O758" s="648"/>
      <c r="P758" s="648"/>
      <c r="R758" s="626"/>
      <c r="T758" s="633"/>
      <c r="U758" s="634"/>
    </row>
    <row r="759" spans="2:21" ht="19.149999999999999" customHeight="1">
      <c r="B759" s="606" t="s">
        <v>1362</v>
      </c>
      <c r="C759" s="654">
        <v>81</v>
      </c>
      <c r="D759" s="607">
        <v>780</v>
      </c>
      <c r="E759" s="608">
        <v>813800</v>
      </c>
      <c r="F759" s="609" t="s">
        <v>1364</v>
      </c>
      <c r="G759" s="610"/>
      <c r="H759" s="610"/>
      <c r="I759" s="611" t="s">
        <v>44</v>
      </c>
      <c r="J759" s="616">
        <v>1027</v>
      </c>
      <c r="K759" s="613">
        <v>5044</v>
      </c>
      <c r="L759" s="616">
        <v>5047</v>
      </c>
      <c r="M759" s="616">
        <v>1027</v>
      </c>
      <c r="N759" s="614">
        <v>964.61400000000003</v>
      </c>
      <c r="O759" s="648"/>
      <c r="P759" s="648"/>
      <c r="R759" s="626"/>
      <c r="T759" s="633"/>
      <c r="U759" s="634"/>
    </row>
    <row r="760" spans="2:21" ht="19.149999999999999" customHeight="1">
      <c r="B760" s="606" t="s">
        <v>1362</v>
      </c>
      <c r="C760" s="654">
        <v>81</v>
      </c>
      <c r="D760" s="607">
        <v>860</v>
      </c>
      <c r="E760" s="608">
        <v>813800</v>
      </c>
      <c r="F760" s="609" t="s">
        <v>1397</v>
      </c>
      <c r="G760" s="610"/>
      <c r="H760" s="610"/>
      <c r="I760" s="611" t="s">
        <v>175</v>
      </c>
      <c r="J760" s="616">
        <v>30</v>
      </c>
      <c r="K760" s="613">
        <v>62</v>
      </c>
      <c r="L760" s="616">
        <v>62</v>
      </c>
      <c r="M760" s="616">
        <v>30</v>
      </c>
      <c r="N760" s="614">
        <v>13.75</v>
      </c>
      <c r="O760" s="648"/>
      <c r="P760" s="648"/>
      <c r="R760" s="626"/>
      <c r="T760" s="633"/>
      <c r="U760" s="634"/>
    </row>
    <row r="761" spans="2:21" ht="18" customHeight="1">
      <c r="B761" s="606" t="s">
        <v>1362</v>
      </c>
      <c r="C761" s="654">
        <v>81</v>
      </c>
      <c r="D761" s="607">
        <v>870</v>
      </c>
      <c r="E761" s="608">
        <v>813800</v>
      </c>
      <c r="F761" s="609" t="s">
        <v>1366</v>
      </c>
      <c r="G761" s="610"/>
      <c r="H761" s="610"/>
      <c r="I761" s="611" t="s">
        <v>175</v>
      </c>
      <c r="J761" s="616">
        <v>92</v>
      </c>
      <c r="K761" s="613">
        <v>145</v>
      </c>
      <c r="L761" s="616">
        <v>145</v>
      </c>
      <c r="M761" s="616">
        <v>92</v>
      </c>
      <c r="N761" s="614">
        <v>91.349969999999999</v>
      </c>
      <c r="O761" s="648"/>
      <c r="P761" s="648"/>
      <c r="R761" s="626"/>
      <c r="T761" s="633"/>
      <c r="U761" s="634"/>
    </row>
    <row r="762" spans="2:21" ht="18" customHeight="1">
      <c r="B762" s="747"/>
      <c r="C762" s="656"/>
      <c r="D762" s="618"/>
      <c r="E762" s="619" t="s">
        <v>1361</v>
      </c>
      <c r="F762" s="620" t="s">
        <v>1365</v>
      </c>
      <c r="G762" s="621">
        <f>SUM(G752:G761)</f>
        <v>0</v>
      </c>
      <c r="H762" s="621">
        <f>SUM(H752:H761)</f>
        <v>0</v>
      </c>
      <c r="I762" s="622"/>
      <c r="J762" s="623">
        <f>SUM(J751:J761)</f>
        <v>1560</v>
      </c>
      <c r="K762" s="624">
        <f>SUM(K751:K761)</f>
        <v>6169</v>
      </c>
      <c r="L762" s="623">
        <f>SUM(L751:L761)</f>
        <v>6231</v>
      </c>
      <c r="M762" s="623">
        <f>SUM(M751:M761)</f>
        <v>1528</v>
      </c>
      <c r="N762" s="625">
        <f>SUM(N751:N761)</f>
        <v>1324.33897</v>
      </c>
      <c r="O762" s="648"/>
      <c r="P762" s="648"/>
      <c r="R762" s="626"/>
      <c r="T762" s="633"/>
      <c r="U762" s="632"/>
    </row>
    <row r="763" spans="2:21" ht="18" customHeight="1">
      <c r="B763" s="704"/>
      <c r="C763" s="684"/>
      <c r="D763" s="705"/>
      <c r="E763" s="695" t="s">
        <v>469</v>
      </c>
      <c r="F763" s="687" t="s">
        <v>90</v>
      </c>
      <c r="G763" s="706"/>
      <c r="H763" s="706"/>
      <c r="I763" s="707"/>
      <c r="J763" s="690"/>
      <c r="K763" s="693"/>
      <c r="L763" s="690"/>
      <c r="M763" s="690"/>
      <c r="N763" s="708"/>
      <c r="O763" s="648"/>
      <c r="P763" s="648"/>
      <c r="R763" s="626"/>
      <c r="T763" s="633"/>
      <c r="U763" s="632"/>
    </row>
    <row r="764" spans="2:21" ht="18" customHeight="1">
      <c r="B764" s="606" t="s">
        <v>638</v>
      </c>
      <c r="C764" s="654">
        <v>81</v>
      </c>
      <c r="D764" s="607">
        <v>101</v>
      </c>
      <c r="E764" s="608">
        <v>814000</v>
      </c>
      <c r="F764" s="609" t="s">
        <v>1377</v>
      </c>
      <c r="G764" s="610">
        <v>9.0399999999999991</v>
      </c>
      <c r="H764" s="610">
        <v>8.3279666666666667</v>
      </c>
      <c r="I764" s="611" t="s">
        <v>669</v>
      </c>
      <c r="J764" s="616">
        <v>1378</v>
      </c>
      <c r="K764" s="613">
        <v>1236</v>
      </c>
      <c r="L764" s="616">
        <v>1251</v>
      </c>
      <c r="M764" s="616">
        <v>1251</v>
      </c>
      <c r="N764" s="614">
        <v>1139.47658</v>
      </c>
      <c r="O764" s="648"/>
      <c r="P764" s="648"/>
      <c r="R764" s="626"/>
      <c r="T764" s="633"/>
      <c r="U764" s="634"/>
    </row>
    <row r="765" spans="2:21" ht="18" customHeight="1">
      <c r="B765" s="606" t="s">
        <v>638</v>
      </c>
      <c r="C765" s="654">
        <v>81</v>
      </c>
      <c r="D765" s="607">
        <v>102</v>
      </c>
      <c r="E765" s="608">
        <v>814000</v>
      </c>
      <c r="F765" s="609" t="s">
        <v>1378</v>
      </c>
      <c r="G765" s="610">
        <v>9.36</v>
      </c>
      <c r="H765" s="610">
        <v>7.2166666666666659</v>
      </c>
      <c r="I765" s="611" t="s">
        <v>669</v>
      </c>
      <c r="J765" s="616">
        <v>1472</v>
      </c>
      <c r="K765" s="613">
        <v>1141</v>
      </c>
      <c r="L765" s="616">
        <v>1297</v>
      </c>
      <c r="M765" s="616">
        <v>1297</v>
      </c>
      <c r="N765" s="614">
        <v>975.55214000000001</v>
      </c>
      <c r="O765" s="648"/>
      <c r="P765" s="648"/>
      <c r="R765" s="626"/>
      <c r="T765" s="633"/>
      <c r="U765" s="634"/>
    </row>
    <row r="766" spans="2:21" ht="18" customHeight="1">
      <c r="B766" s="606" t="s">
        <v>638</v>
      </c>
      <c r="C766" s="654">
        <v>81</v>
      </c>
      <c r="D766" s="607">
        <v>103</v>
      </c>
      <c r="E766" s="608">
        <v>814000</v>
      </c>
      <c r="F766" s="609" t="s">
        <v>1379</v>
      </c>
      <c r="G766" s="610">
        <v>11</v>
      </c>
      <c r="H766" s="610">
        <v>7.2268833333333342</v>
      </c>
      <c r="I766" s="611" t="s">
        <v>669</v>
      </c>
      <c r="J766" s="616">
        <v>1851</v>
      </c>
      <c r="K766" s="613">
        <v>1273</v>
      </c>
      <c r="L766" s="616">
        <v>1643</v>
      </c>
      <c r="M766" s="616">
        <v>1643</v>
      </c>
      <c r="N766" s="614">
        <v>1186.2620099999999</v>
      </c>
      <c r="O766" s="648"/>
      <c r="P766" s="648"/>
      <c r="R766" s="626"/>
      <c r="T766" s="633"/>
      <c r="U766" s="634"/>
    </row>
    <row r="767" spans="2:21" ht="18" customHeight="1">
      <c r="B767" s="606" t="s">
        <v>638</v>
      </c>
      <c r="C767" s="654">
        <v>81</v>
      </c>
      <c r="D767" s="607">
        <v>104</v>
      </c>
      <c r="E767" s="608">
        <v>814000</v>
      </c>
      <c r="F767" s="609" t="s">
        <v>1380</v>
      </c>
      <c r="G767" s="610">
        <v>7.92</v>
      </c>
      <c r="H767" s="610">
        <v>6.4097833333333334</v>
      </c>
      <c r="I767" s="611" t="s">
        <v>669</v>
      </c>
      <c r="J767" s="616">
        <v>1258</v>
      </c>
      <c r="K767" s="613">
        <v>1060</v>
      </c>
      <c r="L767" s="616">
        <v>1226</v>
      </c>
      <c r="M767" s="616">
        <v>1226</v>
      </c>
      <c r="N767" s="614">
        <v>988.61208999999997</v>
      </c>
      <c r="O767" s="648"/>
      <c r="P767" s="648"/>
      <c r="R767" s="626"/>
      <c r="T767" s="633"/>
      <c r="U767" s="634"/>
    </row>
    <row r="768" spans="2:21" ht="18" customHeight="1">
      <c r="B768" s="606" t="s">
        <v>638</v>
      </c>
      <c r="C768" s="654">
        <v>81</v>
      </c>
      <c r="D768" s="607">
        <v>105</v>
      </c>
      <c r="E768" s="608">
        <v>814000</v>
      </c>
      <c r="F768" s="609" t="s">
        <v>1381</v>
      </c>
      <c r="G768" s="610">
        <v>7.24</v>
      </c>
      <c r="H768" s="610">
        <v>7.2351999999999999</v>
      </c>
      <c r="I768" s="611" t="s">
        <v>669</v>
      </c>
      <c r="J768" s="616">
        <v>1185</v>
      </c>
      <c r="K768" s="613">
        <v>1157</v>
      </c>
      <c r="L768" s="616">
        <v>1132</v>
      </c>
      <c r="M768" s="616">
        <v>1132</v>
      </c>
      <c r="N768" s="614">
        <v>1081.9401699999999</v>
      </c>
      <c r="O768" s="648"/>
      <c r="P768" s="648"/>
      <c r="R768" s="626"/>
      <c r="T768" s="633"/>
      <c r="U768" s="634"/>
    </row>
    <row r="769" spans="2:21" ht="18" customHeight="1">
      <c r="B769" s="606" t="s">
        <v>638</v>
      </c>
      <c r="C769" s="654">
        <v>81</v>
      </c>
      <c r="D769" s="607">
        <v>106</v>
      </c>
      <c r="E769" s="608">
        <v>814000</v>
      </c>
      <c r="F769" s="609" t="s">
        <v>1382</v>
      </c>
      <c r="G769" s="610">
        <v>5.3</v>
      </c>
      <c r="H769" s="610">
        <v>5.3</v>
      </c>
      <c r="I769" s="611" t="s">
        <v>669</v>
      </c>
      <c r="J769" s="616">
        <v>832</v>
      </c>
      <c r="K769" s="613">
        <v>828</v>
      </c>
      <c r="L769" s="616">
        <v>856</v>
      </c>
      <c r="M769" s="616">
        <v>856</v>
      </c>
      <c r="N769" s="614">
        <v>777.05346999999995</v>
      </c>
      <c r="O769" s="648"/>
      <c r="P769" s="648"/>
      <c r="R769" s="626"/>
      <c r="T769" s="633"/>
      <c r="U769" s="634"/>
    </row>
    <row r="770" spans="2:21" ht="28">
      <c r="B770" s="606" t="s">
        <v>638</v>
      </c>
      <c r="C770" s="654">
        <v>81</v>
      </c>
      <c r="D770" s="607">
        <v>107</v>
      </c>
      <c r="E770" s="608">
        <v>814000</v>
      </c>
      <c r="F770" s="775" t="s">
        <v>1700</v>
      </c>
      <c r="G770" s="610">
        <v>10</v>
      </c>
      <c r="H770" s="610">
        <v>10.364833333333335</v>
      </c>
      <c r="I770" s="611" t="s">
        <v>669</v>
      </c>
      <c r="J770" s="616">
        <f>920-307</f>
        <v>613</v>
      </c>
      <c r="K770" s="613">
        <v>940</v>
      </c>
      <c r="L770" s="616">
        <v>940</v>
      </c>
      <c r="M770" s="616">
        <v>635</v>
      </c>
      <c r="N770" s="614">
        <v>914.45077000000003</v>
      </c>
      <c r="O770" s="648"/>
      <c r="P770" s="648"/>
      <c r="R770" s="626"/>
      <c r="T770" s="633"/>
      <c r="U770" s="634"/>
    </row>
    <row r="771" spans="2:21" ht="18" customHeight="1">
      <c r="B771" s="606" t="s">
        <v>638</v>
      </c>
      <c r="C771" s="654">
        <v>81</v>
      </c>
      <c r="D771" s="607">
        <v>108</v>
      </c>
      <c r="E771" s="608">
        <v>814000</v>
      </c>
      <c r="F771" s="775" t="s">
        <v>1269</v>
      </c>
      <c r="G771" s="610">
        <v>3.7</v>
      </c>
      <c r="H771" s="610">
        <v>2.4462166666666665</v>
      </c>
      <c r="I771" s="611" t="s">
        <v>669</v>
      </c>
      <c r="J771" s="616">
        <f>450-120</f>
        <v>330</v>
      </c>
      <c r="K771" s="613">
        <v>378</v>
      </c>
      <c r="L771" s="616">
        <v>378</v>
      </c>
      <c r="M771" s="616">
        <v>300</v>
      </c>
      <c r="N771" s="614">
        <v>490.06753000000003</v>
      </c>
      <c r="O771" s="648"/>
      <c r="P771" s="648"/>
      <c r="R771" s="626"/>
      <c r="T771" s="633"/>
      <c r="U771" s="634"/>
    </row>
    <row r="772" spans="2:21" ht="28">
      <c r="B772" s="606" t="s">
        <v>638</v>
      </c>
      <c r="C772" s="654">
        <v>81</v>
      </c>
      <c r="D772" s="607">
        <v>109</v>
      </c>
      <c r="E772" s="608">
        <v>814000</v>
      </c>
      <c r="F772" s="775" t="s">
        <v>2026</v>
      </c>
      <c r="G772" s="610">
        <v>0</v>
      </c>
      <c r="H772" s="610">
        <v>0.75341666666666651</v>
      </c>
      <c r="I772" s="611" t="s">
        <v>669</v>
      </c>
      <c r="J772" s="616">
        <v>260</v>
      </c>
      <c r="K772" s="613">
        <v>260</v>
      </c>
      <c r="L772" s="616">
        <v>260</v>
      </c>
      <c r="M772" s="616">
        <v>260</v>
      </c>
      <c r="N772" s="614">
        <v>130.07785000000001</v>
      </c>
      <c r="O772" s="648"/>
      <c r="P772" s="648"/>
      <c r="R772" s="626"/>
      <c r="T772" s="633"/>
      <c r="U772" s="634"/>
    </row>
    <row r="773" spans="2:21" ht="18" customHeight="1">
      <c r="B773" s="606" t="s">
        <v>638</v>
      </c>
      <c r="C773" s="654">
        <v>81</v>
      </c>
      <c r="D773" s="607">
        <v>110</v>
      </c>
      <c r="E773" s="608">
        <v>814000</v>
      </c>
      <c r="F773" s="775" t="s">
        <v>1736</v>
      </c>
      <c r="G773" s="610">
        <v>1.92</v>
      </c>
      <c r="H773" s="610">
        <v>0</v>
      </c>
      <c r="I773" s="611" t="s">
        <v>669</v>
      </c>
      <c r="J773" s="616">
        <v>230</v>
      </c>
      <c r="K773" s="613">
        <v>230</v>
      </c>
      <c r="L773" s="616">
        <v>230</v>
      </c>
      <c r="M773" s="616">
        <v>230</v>
      </c>
      <c r="N773" s="614">
        <v>187.47300000000001</v>
      </c>
      <c r="O773" s="648"/>
      <c r="P773" s="648"/>
      <c r="R773" s="626"/>
      <c r="T773" s="633"/>
      <c r="U773" s="634"/>
    </row>
    <row r="774" spans="2:21" ht="18" customHeight="1">
      <c r="B774" s="606" t="s">
        <v>638</v>
      </c>
      <c r="C774" s="654">
        <v>10</v>
      </c>
      <c r="D774" s="607">
        <v>570</v>
      </c>
      <c r="E774" s="608">
        <v>814000</v>
      </c>
      <c r="F774" s="609" t="s">
        <v>608</v>
      </c>
      <c r="G774" s="610"/>
      <c r="H774" s="610"/>
      <c r="I774" s="611" t="s">
        <v>175</v>
      </c>
      <c r="J774" s="616">
        <v>170</v>
      </c>
      <c r="K774" s="613">
        <v>170</v>
      </c>
      <c r="L774" s="616">
        <v>170</v>
      </c>
      <c r="M774" s="616">
        <v>170</v>
      </c>
      <c r="N774" s="614">
        <v>152.81895</v>
      </c>
      <c r="O774" s="648"/>
      <c r="P774" s="648"/>
      <c r="R774" s="626"/>
      <c r="T774" s="633"/>
      <c r="U774" s="634"/>
    </row>
    <row r="775" spans="2:21" ht="18.649999999999999" customHeight="1">
      <c r="B775" s="606" t="s">
        <v>638</v>
      </c>
      <c r="C775" s="655">
        <v>81</v>
      </c>
      <c r="D775" s="615">
        <v>750</v>
      </c>
      <c r="E775" s="608">
        <v>814000</v>
      </c>
      <c r="F775" s="609" t="s">
        <v>361</v>
      </c>
      <c r="G775" s="610"/>
      <c r="H775" s="610"/>
      <c r="I775" s="611" t="s">
        <v>175</v>
      </c>
      <c r="J775" s="616">
        <f>2056-110</f>
        <v>1946</v>
      </c>
      <c r="K775" s="613">
        <v>1632</v>
      </c>
      <c r="L775" s="616">
        <v>1722</v>
      </c>
      <c r="M775" s="616">
        <v>1719</v>
      </c>
      <c r="N775" s="614">
        <v>1660.6102900000001</v>
      </c>
      <c r="O775" s="648"/>
      <c r="P775" s="648"/>
      <c r="R775" s="626"/>
      <c r="T775" s="633"/>
      <c r="U775" s="634"/>
    </row>
    <row r="776" spans="2:21" ht="18" customHeight="1">
      <c r="B776" s="606" t="s">
        <v>638</v>
      </c>
      <c r="C776" s="654">
        <v>81</v>
      </c>
      <c r="D776" s="607">
        <v>755</v>
      </c>
      <c r="E776" s="608">
        <v>814000</v>
      </c>
      <c r="F776" s="609" t="s">
        <v>1926</v>
      </c>
      <c r="G776" s="610"/>
      <c r="H776" s="610"/>
      <c r="I776" s="611" t="s">
        <v>44</v>
      </c>
      <c r="J776" s="616">
        <v>50</v>
      </c>
      <c r="K776" s="613">
        <v>50</v>
      </c>
      <c r="L776" s="616">
        <v>50</v>
      </c>
      <c r="M776" s="616">
        <v>50</v>
      </c>
      <c r="N776" s="614">
        <v>0</v>
      </c>
      <c r="O776" s="648"/>
      <c r="P776" s="648"/>
      <c r="R776" s="626"/>
      <c r="T776" s="633"/>
      <c r="U776" s="634"/>
    </row>
    <row r="777" spans="2:21" ht="28">
      <c r="B777" s="606" t="s">
        <v>638</v>
      </c>
      <c r="C777" s="654">
        <v>81</v>
      </c>
      <c r="D777" s="607">
        <v>780</v>
      </c>
      <c r="E777" s="608">
        <v>814000</v>
      </c>
      <c r="F777" s="609" t="s">
        <v>1432</v>
      </c>
      <c r="G777" s="610"/>
      <c r="H777" s="610"/>
      <c r="I777" s="611" t="s">
        <v>175</v>
      </c>
      <c r="J777" s="616">
        <v>37</v>
      </c>
      <c r="K777" s="613">
        <v>37</v>
      </c>
      <c r="L777" s="616">
        <v>37</v>
      </c>
      <c r="M777" s="616">
        <v>37</v>
      </c>
      <c r="N777" s="614">
        <v>141.06845000000001</v>
      </c>
      <c r="O777" s="648"/>
      <c r="P777" s="648"/>
      <c r="R777" s="626"/>
      <c r="T777" s="633"/>
      <c r="U777" s="634"/>
    </row>
    <row r="778" spans="2:21" ht="18" customHeight="1">
      <c r="B778" s="606" t="s">
        <v>638</v>
      </c>
      <c r="C778" s="655">
        <v>81</v>
      </c>
      <c r="D778" s="615">
        <v>783</v>
      </c>
      <c r="E778" s="608">
        <v>814000</v>
      </c>
      <c r="F778" s="609" t="s">
        <v>1934</v>
      </c>
      <c r="G778" s="610"/>
      <c r="H778" s="610"/>
      <c r="I778" s="611" t="s">
        <v>175</v>
      </c>
      <c r="J778" s="616">
        <v>1130</v>
      </c>
      <c r="K778" s="613">
        <v>977</v>
      </c>
      <c r="L778" s="616">
        <v>977</v>
      </c>
      <c r="M778" s="616">
        <v>960</v>
      </c>
      <c r="N778" s="614">
        <v>323.95603000000006</v>
      </c>
      <c r="O778" s="648"/>
      <c r="P778" s="648"/>
      <c r="R778" s="626"/>
      <c r="T778" s="633"/>
      <c r="U778" s="634"/>
    </row>
    <row r="779" spans="2:21" ht="18" customHeight="1">
      <c r="B779" s="606" t="s">
        <v>638</v>
      </c>
      <c r="C779" s="655">
        <v>81</v>
      </c>
      <c r="D779" s="615">
        <v>784</v>
      </c>
      <c r="E779" s="608">
        <v>814000</v>
      </c>
      <c r="F779" s="710" t="s">
        <v>29</v>
      </c>
      <c r="G779" s="610"/>
      <c r="H779" s="610"/>
      <c r="I779" s="611" t="s">
        <v>44</v>
      </c>
      <c r="J779" s="616">
        <f>713-241</f>
        <v>472</v>
      </c>
      <c r="K779" s="613">
        <v>672</v>
      </c>
      <c r="L779" s="616">
        <v>672</v>
      </c>
      <c r="M779" s="616">
        <v>450</v>
      </c>
      <c r="N779" s="614">
        <v>1047.15707</v>
      </c>
      <c r="O779" s="648"/>
      <c r="P779" s="648"/>
      <c r="R779" s="626"/>
      <c r="T779" s="633"/>
      <c r="U779" s="634"/>
    </row>
    <row r="780" spans="2:21" ht="18" customHeight="1">
      <c r="B780" s="606" t="s">
        <v>638</v>
      </c>
      <c r="C780" s="655">
        <v>81</v>
      </c>
      <c r="D780" s="615">
        <v>785</v>
      </c>
      <c r="E780" s="608">
        <v>814000</v>
      </c>
      <c r="F780" s="710" t="s">
        <v>1737</v>
      </c>
      <c r="G780" s="610"/>
      <c r="H780" s="610"/>
      <c r="I780" s="611" t="s">
        <v>44</v>
      </c>
      <c r="J780" s="616">
        <v>52</v>
      </c>
      <c r="K780" s="613">
        <v>45</v>
      </c>
      <c r="L780" s="616">
        <v>45</v>
      </c>
      <c r="M780" s="616">
        <v>55</v>
      </c>
      <c r="N780" s="614">
        <v>54.701650000000001</v>
      </c>
      <c r="O780" s="648"/>
      <c r="P780" s="648"/>
      <c r="R780" s="626"/>
      <c r="T780" s="633"/>
      <c r="U780" s="634"/>
    </row>
    <row r="781" spans="2:21" ht="18.649999999999999" customHeight="1">
      <c r="B781" s="606" t="s">
        <v>638</v>
      </c>
      <c r="C781" s="654">
        <v>82</v>
      </c>
      <c r="D781" s="607">
        <v>871</v>
      </c>
      <c r="E781" s="608">
        <v>814000</v>
      </c>
      <c r="F781" s="609" t="s">
        <v>639</v>
      </c>
      <c r="G781" s="610"/>
      <c r="H781" s="610"/>
      <c r="I781" s="611" t="s">
        <v>175</v>
      </c>
      <c r="J781" s="616">
        <v>48</v>
      </c>
      <c r="K781" s="613">
        <v>48</v>
      </c>
      <c r="L781" s="616">
        <v>48</v>
      </c>
      <c r="M781" s="616">
        <v>48</v>
      </c>
      <c r="N781" s="614">
        <v>48</v>
      </c>
      <c r="O781" s="648"/>
      <c r="P781" s="648"/>
      <c r="R781" s="626"/>
      <c r="T781" s="633"/>
      <c r="U781" s="634"/>
    </row>
    <row r="782" spans="2:21" ht="18" customHeight="1">
      <c r="B782" s="606" t="s">
        <v>638</v>
      </c>
      <c r="C782" s="654">
        <v>82</v>
      </c>
      <c r="D782" s="607">
        <v>872</v>
      </c>
      <c r="E782" s="608">
        <v>814000</v>
      </c>
      <c r="F782" s="609" t="s">
        <v>1238</v>
      </c>
      <c r="G782" s="610"/>
      <c r="H782" s="610"/>
      <c r="I782" s="611" t="s">
        <v>175</v>
      </c>
      <c r="J782" s="616">
        <v>48</v>
      </c>
      <c r="K782" s="613">
        <v>48</v>
      </c>
      <c r="L782" s="616">
        <v>48</v>
      </c>
      <c r="M782" s="616">
        <v>48</v>
      </c>
      <c r="N782" s="614">
        <v>48</v>
      </c>
      <c r="O782" s="648"/>
      <c r="P782" s="648"/>
      <c r="R782" s="626"/>
      <c r="T782" s="633"/>
      <c r="U782" s="634"/>
    </row>
    <row r="783" spans="2:21" ht="28">
      <c r="B783" s="606" t="s">
        <v>638</v>
      </c>
      <c r="C783" s="654">
        <v>82</v>
      </c>
      <c r="D783" s="607">
        <v>873</v>
      </c>
      <c r="E783" s="608">
        <v>814000</v>
      </c>
      <c r="F783" s="703" t="s">
        <v>1330</v>
      </c>
      <c r="G783" s="610"/>
      <c r="H783" s="610"/>
      <c r="I783" s="611" t="s">
        <v>175</v>
      </c>
      <c r="J783" s="616">
        <v>130</v>
      </c>
      <c r="K783" s="613">
        <v>101</v>
      </c>
      <c r="L783" s="616">
        <v>130</v>
      </c>
      <c r="M783" s="616">
        <v>130</v>
      </c>
      <c r="N783" s="614">
        <v>156.61799999999999</v>
      </c>
      <c r="O783" s="648"/>
      <c r="P783" s="648"/>
      <c r="R783" s="626"/>
      <c r="T783" s="633"/>
      <c r="U783" s="634"/>
    </row>
    <row r="784" spans="2:21" ht="19.149999999999999" customHeight="1">
      <c r="B784" s="789" t="s">
        <v>638</v>
      </c>
      <c r="C784" s="654">
        <v>81</v>
      </c>
      <c r="D784" s="758">
        <v>878</v>
      </c>
      <c r="E784" s="791">
        <v>814000</v>
      </c>
      <c r="F784" s="795" t="s">
        <v>374</v>
      </c>
      <c r="G784" s="793"/>
      <c r="H784" s="793"/>
      <c r="I784" s="611" t="s">
        <v>44</v>
      </c>
      <c r="J784" s="796">
        <v>1736</v>
      </c>
      <c r="K784" s="797">
        <v>1666</v>
      </c>
      <c r="L784" s="796">
        <v>1666</v>
      </c>
      <c r="M784" s="796">
        <v>1666</v>
      </c>
      <c r="N784" s="614">
        <v>1721.11592</v>
      </c>
      <c r="O784" s="648"/>
      <c r="P784" s="648"/>
      <c r="R784" s="626"/>
      <c r="T784" s="633"/>
      <c r="U784" s="634"/>
    </row>
    <row r="785" spans="2:21" ht="19.149999999999999" customHeight="1">
      <c r="B785" s="749"/>
      <c r="C785" s="712"/>
      <c r="D785" s="713"/>
      <c r="E785" s="714" t="s">
        <v>469</v>
      </c>
      <c r="F785" s="715" t="s">
        <v>849</v>
      </c>
      <c r="G785" s="621">
        <f>SUM(G764:G784)</f>
        <v>65.48</v>
      </c>
      <c r="H785" s="621">
        <f>SUM(H764:H784)</f>
        <v>55.280966666666664</v>
      </c>
      <c r="I785" s="794"/>
      <c r="J785" s="718">
        <f>SUM(J764:J784)</f>
        <v>15228</v>
      </c>
      <c r="K785" s="719">
        <f>SUM(K764:K784)</f>
        <v>13949</v>
      </c>
      <c r="L785" s="718">
        <f>SUM(L764:L784)</f>
        <v>14778</v>
      </c>
      <c r="M785" s="718">
        <f>SUM(M764:M784)</f>
        <v>14163</v>
      </c>
      <c r="N785" s="720">
        <f>SUM(N764:N784)</f>
        <v>13225.011970000001</v>
      </c>
      <c r="O785" s="648"/>
      <c r="P785" s="648"/>
      <c r="R785" s="626"/>
      <c r="T785" s="633"/>
      <c r="U785" s="632"/>
    </row>
    <row r="786" spans="2:21" ht="19.149999999999999" customHeight="1">
      <c r="B786" s="798"/>
      <c r="C786" s="799"/>
      <c r="D786" s="800"/>
      <c r="E786" s="801" t="s">
        <v>1258</v>
      </c>
      <c r="F786" s="802" t="s">
        <v>1673</v>
      </c>
      <c r="G786" s="803"/>
      <c r="H786" s="803"/>
      <c r="I786" s="804"/>
      <c r="J786" s="805"/>
      <c r="K786" s="806"/>
      <c r="L786" s="805"/>
      <c r="M786" s="805"/>
      <c r="N786" s="807"/>
      <c r="O786" s="648"/>
      <c r="P786" s="648"/>
      <c r="R786" s="626"/>
      <c r="T786" s="633"/>
      <c r="U786" s="632"/>
    </row>
    <row r="787" spans="2:21" ht="19.149999999999999" customHeight="1">
      <c r="B787" s="606" t="s">
        <v>1673</v>
      </c>
      <c r="C787" s="654">
        <v>81</v>
      </c>
      <c r="D787" s="607">
        <v>100</v>
      </c>
      <c r="E787" s="608">
        <v>814001</v>
      </c>
      <c r="F787" s="703" t="s">
        <v>1210</v>
      </c>
      <c r="G787" s="610">
        <v>7.72</v>
      </c>
      <c r="H787" s="610">
        <v>8.5441166666666692</v>
      </c>
      <c r="I787" s="611" t="s">
        <v>669</v>
      </c>
      <c r="J787" s="616">
        <v>1705</v>
      </c>
      <c r="K787" s="613">
        <v>1700</v>
      </c>
      <c r="L787" s="616">
        <v>1938</v>
      </c>
      <c r="M787" s="616">
        <v>1278</v>
      </c>
      <c r="N787" s="614">
        <v>1258.82989</v>
      </c>
      <c r="O787" s="648"/>
      <c r="P787" s="648"/>
      <c r="R787" s="626"/>
      <c r="T787" s="633"/>
      <c r="U787" s="634"/>
    </row>
    <row r="788" spans="2:21" ht="19.149999999999999" customHeight="1">
      <c r="B788" s="606" t="s">
        <v>1673</v>
      </c>
      <c r="C788" s="654">
        <v>81</v>
      </c>
      <c r="D788" s="758">
        <v>101</v>
      </c>
      <c r="E788" s="791">
        <v>814001</v>
      </c>
      <c r="F788" s="795" t="s">
        <v>1237</v>
      </c>
      <c r="G788" s="793">
        <v>3.5</v>
      </c>
      <c r="H788" s="793">
        <v>2.4</v>
      </c>
      <c r="I788" s="611" t="s">
        <v>669</v>
      </c>
      <c r="J788" s="796">
        <v>454</v>
      </c>
      <c r="K788" s="797">
        <v>338</v>
      </c>
      <c r="L788" s="796">
        <v>370</v>
      </c>
      <c r="M788" s="796">
        <v>370</v>
      </c>
      <c r="N788" s="614">
        <v>286.31023999999996</v>
      </c>
      <c r="O788" s="648"/>
      <c r="P788" s="648"/>
      <c r="R788" s="626"/>
      <c r="T788" s="633"/>
      <c r="U788" s="634"/>
    </row>
    <row r="789" spans="2:21" ht="19.149999999999999" customHeight="1">
      <c r="B789" s="606" t="s">
        <v>1673</v>
      </c>
      <c r="C789" s="654">
        <v>81</v>
      </c>
      <c r="D789" s="758">
        <v>750</v>
      </c>
      <c r="E789" s="791">
        <v>814001</v>
      </c>
      <c r="F789" s="795" t="s">
        <v>1543</v>
      </c>
      <c r="G789" s="793"/>
      <c r="H789" s="793"/>
      <c r="I789" s="611" t="s">
        <v>175</v>
      </c>
      <c r="J789" s="616">
        <f>174-7</f>
        <v>167</v>
      </c>
      <c r="K789" s="797">
        <v>146</v>
      </c>
      <c r="L789" s="616">
        <v>146</v>
      </c>
      <c r="M789" s="616">
        <v>146</v>
      </c>
      <c r="N789" s="614">
        <v>138.34397000000001</v>
      </c>
      <c r="O789" s="648"/>
      <c r="P789" s="648"/>
      <c r="R789" s="626"/>
      <c r="T789" s="633"/>
      <c r="U789" s="634"/>
    </row>
    <row r="790" spans="2:21" ht="19.149999999999999" customHeight="1">
      <c r="B790" s="606" t="s">
        <v>1673</v>
      </c>
      <c r="C790" s="655">
        <v>81</v>
      </c>
      <c r="D790" s="808">
        <v>780</v>
      </c>
      <c r="E790" s="791">
        <v>814001</v>
      </c>
      <c r="F790" s="795" t="s">
        <v>1964</v>
      </c>
      <c r="G790" s="793"/>
      <c r="H790" s="793"/>
      <c r="I790" s="611" t="s">
        <v>44</v>
      </c>
      <c r="J790" s="796">
        <v>171</v>
      </c>
      <c r="K790" s="797">
        <v>171</v>
      </c>
      <c r="L790" s="796">
        <v>171</v>
      </c>
      <c r="M790" s="796">
        <v>180</v>
      </c>
      <c r="N790" s="614">
        <v>167.41341</v>
      </c>
      <c r="O790" s="648"/>
      <c r="P790" s="648"/>
      <c r="R790" s="626"/>
      <c r="T790" s="633"/>
      <c r="U790" s="634"/>
    </row>
    <row r="791" spans="2:21" ht="19.149999999999999" customHeight="1">
      <c r="B791" s="749"/>
      <c r="C791" s="712"/>
      <c r="D791" s="713"/>
      <c r="E791" s="714" t="s">
        <v>1258</v>
      </c>
      <c r="F791" s="715" t="s">
        <v>1674</v>
      </c>
      <c r="G791" s="621">
        <f>SUM(G787:G790)</f>
        <v>11.219999999999999</v>
      </c>
      <c r="H791" s="621">
        <f>SUM(H787:H790)</f>
        <v>10.94411666666667</v>
      </c>
      <c r="I791" s="794"/>
      <c r="J791" s="718">
        <f>SUM(J787:J790)</f>
        <v>2497</v>
      </c>
      <c r="K791" s="719">
        <f>SUM(K787:K790)</f>
        <v>2355</v>
      </c>
      <c r="L791" s="718">
        <f>SUM(L787:L790)</f>
        <v>2625</v>
      </c>
      <c r="M791" s="718">
        <f>SUM(M787:M790)</f>
        <v>1974</v>
      </c>
      <c r="N791" s="720">
        <f>SUM(N787:N790)</f>
        <v>1850.8975100000002</v>
      </c>
      <c r="O791" s="648"/>
      <c r="P791" s="648"/>
      <c r="R791" s="626"/>
      <c r="T791" s="633"/>
      <c r="U791" s="632"/>
    </row>
    <row r="792" spans="2:21" ht="19.149999999999999" customHeight="1">
      <c r="B792" s="704"/>
      <c r="C792" s="684"/>
      <c r="D792" s="705"/>
      <c r="E792" s="695" t="s">
        <v>428</v>
      </c>
      <c r="F792" s="687" t="s">
        <v>1009</v>
      </c>
      <c r="G792" s="706"/>
      <c r="H792" s="706"/>
      <c r="I792" s="707"/>
      <c r="J792" s="690"/>
      <c r="K792" s="693"/>
      <c r="L792" s="690"/>
      <c r="M792" s="690"/>
      <c r="N792" s="708"/>
      <c r="O792" s="648"/>
      <c r="P792" s="648"/>
      <c r="R792" s="626"/>
      <c r="T792" s="633"/>
      <c r="U792" s="632"/>
    </row>
    <row r="793" spans="2:21" ht="19.149999999999999" customHeight="1">
      <c r="B793" s="606" t="s">
        <v>1009</v>
      </c>
      <c r="C793" s="654">
        <v>81</v>
      </c>
      <c r="D793" s="607">
        <v>100</v>
      </c>
      <c r="E793" s="608">
        <v>814100</v>
      </c>
      <c r="F793" s="609" t="s">
        <v>848</v>
      </c>
      <c r="G793" s="610">
        <v>3.5</v>
      </c>
      <c r="H793" s="610">
        <v>3.5</v>
      </c>
      <c r="I793" s="611" t="s">
        <v>669</v>
      </c>
      <c r="J793" s="616">
        <v>560</v>
      </c>
      <c r="K793" s="613">
        <v>547</v>
      </c>
      <c r="L793" s="616">
        <v>579</v>
      </c>
      <c r="M793" s="616">
        <v>579</v>
      </c>
      <c r="N793" s="614">
        <v>538.80178000000001</v>
      </c>
      <c r="O793" s="648"/>
      <c r="P793" s="648"/>
      <c r="R793" s="626"/>
      <c r="T793" s="633"/>
      <c r="U793" s="634"/>
    </row>
    <row r="794" spans="2:21" ht="18" customHeight="1">
      <c r="B794" s="606" t="s">
        <v>1009</v>
      </c>
      <c r="C794" s="654">
        <v>5</v>
      </c>
      <c r="D794" s="607">
        <v>750</v>
      </c>
      <c r="E794" s="608">
        <v>814100</v>
      </c>
      <c r="F794" s="609" t="s">
        <v>702</v>
      </c>
      <c r="G794" s="610"/>
      <c r="H794" s="610"/>
      <c r="I794" s="611" t="s">
        <v>175</v>
      </c>
      <c r="J794" s="616">
        <v>32</v>
      </c>
      <c r="K794" s="613">
        <v>32</v>
      </c>
      <c r="L794" s="616">
        <v>32</v>
      </c>
      <c r="M794" s="616">
        <v>32</v>
      </c>
      <c r="N794" s="614">
        <v>30.956520000000001</v>
      </c>
      <c r="O794" s="648"/>
      <c r="P794" s="648"/>
      <c r="R794" s="626"/>
      <c r="T794" s="633"/>
      <c r="U794" s="634"/>
    </row>
    <row r="795" spans="2:21" ht="19.149999999999999" customHeight="1">
      <c r="B795" s="606" t="s">
        <v>1009</v>
      </c>
      <c r="C795" s="654">
        <v>5</v>
      </c>
      <c r="D795" s="607">
        <v>751</v>
      </c>
      <c r="E795" s="608">
        <v>814100</v>
      </c>
      <c r="F795" s="609" t="s">
        <v>600</v>
      </c>
      <c r="G795" s="610"/>
      <c r="H795" s="610"/>
      <c r="I795" s="611" t="s">
        <v>175</v>
      </c>
      <c r="J795" s="616">
        <v>10</v>
      </c>
      <c r="K795" s="613">
        <v>10</v>
      </c>
      <c r="L795" s="616">
        <v>10</v>
      </c>
      <c r="M795" s="616">
        <v>10</v>
      </c>
      <c r="N795" s="614">
        <v>7.7510399999999997</v>
      </c>
      <c r="O795" s="648"/>
      <c r="P795" s="648"/>
      <c r="R795" s="626"/>
      <c r="T795" s="633"/>
      <c r="U795" s="634"/>
    </row>
    <row r="796" spans="2:21" ht="28">
      <c r="B796" s="606" t="s">
        <v>1009</v>
      </c>
      <c r="C796" s="654">
        <v>82</v>
      </c>
      <c r="D796" s="607">
        <v>870</v>
      </c>
      <c r="E796" s="608">
        <v>814100</v>
      </c>
      <c r="F796" s="703" t="s">
        <v>1719</v>
      </c>
      <c r="G796" s="610"/>
      <c r="H796" s="610"/>
      <c r="I796" s="611" t="s">
        <v>44</v>
      </c>
      <c r="J796" s="616">
        <v>330</v>
      </c>
      <c r="K796" s="613">
        <v>330</v>
      </c>
      <c r="L796" s="616">
        <v>330</v>
      </c>
      <c r="M796" s="616">
        <v>330</v>
      </c>
      <c r="N796" s="614">
        <v>305</v>
      </c>
      <c r="O796" s="648"/>
      <c r="P796" s="648"/>
      <c r="R796" s="626"/>
      <c r="T796" s="633"/>
      <c r="U796" s="634"/>
    </row>
    <row r="797" spans="2:21" ht="19.149999999999999" customHeight="1">
      <c r="B797" s="606" t="s">
        <v>1009</v>
      </c>
      <c r="C797" s="654">
        <v>81</v>
      </c>
      <c r="D797" s="607">
        <v>878</v>
      </c>
      <c r="E797" s="608">
        <v>814100</v>
      </c>
      <c r="F797" s="701" t="s">
        <v>417</v>
      </c>
      <c r="G797" s="610"/>
      <c r="H797" s="610"/>
      <c r="I797" s="611" t="s">
        <v>44</v>
      </c>
      <c r="J797" s="616">
        <v>251</v>
      </c>
      <c r="K797" s="613">
        <v>251</v>
      </c>
      <c r="L797" s="616">
        <v>251</v>
      </c>
      <c r="M797" s="616">
        <v>251</v>
      </c>
      <c r="N797" s="614">
        <v>251</v>
      </c>
      <c r="O797" s="648"/>
      <c r="P797" s="648"/>
      <c r="R797" s="626"/>
      <c r="T797" s="633"/>
      <c r="U797" s="634"/>
    </row>
    <row r="798" spans="2:21" ht="19.149999999999999" customHeight="1">
      <c r="B798" s="747"/>
      <c r="C798" s="656"/>
      <c r="D798" s="618"/>
      <c r="E798" s="619" t="s">
        <v>428</v>
      </c>
      <c r="F798" s="620" t="s">
        <v>430</v>
      </c>
      <c r="G798" s="621">
        <f>SUM(G793:G797)</f>
        <v>3.5</v>
      </c>
      <c r="H798" s="621">
        <f>SUM(H793:H797)</f>
        <v>3.5</v>
      </c>
      <c r="I798" s="622"/>
      <c r="J798" s="623">
        <f>SUM(J793:J797)</f>
        <v>1183</v>
      </c>
      <c r="K798" s="624">
        <f>SUM(K793:K797)</f>
        <v>1170</v>
      </c>
      <c r="L798" s="623">
        <f>SUM(L793:L797)</f>
        <v>1202</v>
      </c>
      <c r="M798" s="623">
        <f>SUM(M793:M797)</f>
        <v>1202</v>
      </c>
      <c r="N798" s="625">
        <f>SUM(N793:N797)</f>
        <v>1133.5093400000001</v>
      </c>
      <c r="O798" s="648"/>
      <c r="P798" s="648"/>
      <c r="R798" s="626"/>
      <c r="T798" s="633"/>
      <c r="U798" s="632"/>
    </row>
    <row r="799" spans="2:21" ht="28">
      <c r="B799" s="704"/>
      <c r="C799" s="684"/>
      <c r="D799" s="705"/>
      <c r="E799" s="695" t="s">
        <v>431</v>
      </c>
      <c r="F799" s="753" t="s">
        <v>2282</v>
      </c>
      <c r="G799" s="706"/>
      <c r="H799" s="706"/>
      <c r="I799" s="707"/>
      <c r="J799" s="690"/>
      <c r="K799" s="693"/>
      <c r="L799" s="690"/>
      <c r="M799" s="690"/>
      <c r="N799" s="708"/>
      <c r="O799" s="648"/>
      <c r="P799" s="648"/>
      <c r="R799" s="626"/>
      <c r="T799" s="633"/>
      <c r="U799" s="632"/>
    </row>
    <row r="800" spans="2:21" ht="19.149999999999999" customHeight="1">
      <c r="B800" s="606" t="s">
        <v>751</v>
      </c>
      <c r="C800" s="654">
        <v>81</v>
      </c>
      <c r="D800" s="607">
        <v>101</v>
      </c>
      <c r="E800" s="608">
        <v>815200</v>
      </c>
      <c r="F800" s="701" t="s">
        <v>1229</v>
      </c>
      <c r="G800" s="610">
        <v>100.09</v>
      </c>
      <c r="H800" s="610">
        <v>97.199033333333304</v>
      </c>
      <c r="I800" s="611" t="s">
        <v>669</v>
      </c>
      <c r="J800" s="616">
        <v>25936</v>
      </c>
      <c r="K800" s="613">
        <v>25270</v>
      </c>
      <c r="L800" s="616">
        <v>25570</v>
      </c>
      <c r="M800" s="616">
        <v>24940</v>
      </c>
      <c r="N800" s="614">
        <v>24276.794469999997</v>
      </c>
      <c r="O800" s="648"/>
      <c r="P800" s="648"/>
      <c r="R800" s="626"/>
      <c r="T800" s="633"/>
      <c r="U800" s="634"/>
    </row>
    <row r="801" spans="2:21" ht="16.5" customHeight="1">
      <c r="B801" s="606" t="s">
        <v>751</v>
      </c>
      <c r="C801" s="654">
        <v>81</v>
      </c>
      <c r="D801" s="607">
        <v>102</v>
      </c>
      <c r="E801" s="608">
        <v>815200</v>
      </c>
      <c r="F801" s="701" t="s">
        <v>1231</v>
      </c>
      <c r="G801" s="610">
        <v>84.63</v>
      </c>
      <c r="H801" s="610">
        <v>80.544600000000017</v>
      </c>
      <c r="I801" s="611" t="s">
        <v>669</v>
      </c>
      <c r="J801" s="616">
        <v>22715</v>
      </c>
      <c r="K801" s="613">
        <v>21530</v>
      </c>
      <c r="L801" s="616">
        <v>21532</v>
      </c>
      <c r="M801" s="616">
        <v>20902</v>
      </c>
      <c r="N801" s="614">
        <v>20073.209850000003</v>
      </c>
      <c r="O801" s="648"/>
      <c r="P801" s="648"/>
      <c r="R801" s="626"/>
      <c r="T801" s="633"/>
      <c r="U801" s="634"/>
    </row>
    <row r="802" spans="2:21" ht="16.5" customHeight="1">
      <c r="B802" s="606" t="s">
        <v>751</v>
      </c>
      <c r="C802" s="654">
        <v>81</v>
      </c>
      <c r="D802" s="607">
        <v>103</v>
      </c>
      <c r="E802" s="608">
        <v>815200</v>
      </c>
      <c r="F802" s="701" t="s">
        <v>1232</v>
      </c>
      <c r="G802" s="610">
        <v>71.5</v>
      </c>
      <c r="H802" s="610">
        <v>67.566333333333347</v>
      </c>
      <c r="I802" s="611" t="s">
        <v>669</v>
      </c>
      <c r="J802" s="616">
        <v>18407</v>
      </c>
      <c r="K802" s="613">
        <v>17855</v>
      </c>
      <c r="L802" s="616">
        <v>17908</v>
      </c>
      <c r="M802" s="616">
        <v>17338</v>
      </c>
      <c r="N802" s="614">
        <v>16864.267010000003</v>
      </c>
      <c r="O802" s="648"/>
      <c r="P802" s="648"/>
      <c r="R802" s="626"/>
      <c r="T802" s="633"/>
      <c r="U802" s="634"/>
    </row>
    <row r="803" spans="2:21" ht="16.5" customHeight="1">
      <c r="B803" s="606" t="s">
        <v>751</v>
      </c>
      <c r="C803" s="654">
        <v>81</v>
      </c>
      <c r="D803" s="607">
        <v>105</v>
      </c>
      <c r="E803" s="608">
        <v>815200</v>
      </c>
      <c r="F803" s="609" t="s">
        <v>1021</v>
      </c>
      <c r="G803" s="610">
        <v>0.33</v>
      </c>
      <c r="H803" s="610">
        <v>0</v>
      </c>
      <c r="I803" s="611" t="s">
        <v>669</v>
      </c>
      <c r="J803" s="616">
        <v>9</v>
      </c>
      <c r="K803" s="613">
        <v>9</v>
      </c>
      <c r="L803" s="616">
        <v>9</v>
      </c>
      <c r="M803" s="616">
        <v>9</v>
      </c>
      <c r="N803" s="614">
        <v>6.3716200000000001</v>
      </c>
      <c r="O803" s="648"/>
      <c r="P803" s="648"/>
      <c r="R803" s="626"/>
      <c r="T803" s="633"/>
      <c r="U803" s="634"/>
    </row>
    <row r="804" spans="2:21" ht="28.5" customHeight="1">
      <c r="B804" s="606" t="s">
        <v>751</v>
      </c>
      <c r="C804" s="654">
        <v>81</v>
      </c>
      <c r="D804" s="607">
        <v>107</v>
      </c>
      <c r="E804" s="608">
        <v>815200</v>
      </c>
      <c r="F804" s="809" t="s">
        <v>1699</v>
      </c>
      <c r="G804" s="610">
        <v>3</v>
      </c>
      <c r="H804" s="610">
        <v>3.3819499999999998</v>
      </c>
      <c r="I804" s="611" t="s">
        <v>669</v>
      </c>
      <c r="J804" s="616">
        <f>541-120</f>
        <v>421</v>
      </c>
      <c r="K804" s="613">
        <v>398</v>
      </c>
      <c r="L804" s="616">
        <v>394</v>
      </c>
      <c r="M804" s="616">
        <v>394</v>
      </c>
      <c r="N804" s="614">
        <v>395.70035999999999</v>
      </c>
      <c r="O804" s="648"/>
      <c r="P804" s="648"/>
      <c r="R804" s="626"/>
      <c r="T804" s="633"/>
      <c r="U804" s="634"/>
    </row>
    <row r="805" spans="2:21" ht="28.5" customHeight="1">
      <c r="B805" s="606" t="s">
        <v>751</v>
      </c>
      <c r="C805" s="654">
        <v>81</v>
      </c>
      <c r="D805" s="607">
        <v>109</v>
      </c>
      <c r="E805" s="608">
        <v>815200</v>
      </c>
      <c r="F805" s="701" t="s">
        <v>2028</v>
      </c>
      <c r="G805" s="610">
        <v>0</v>
      </c>
      <c r="H805" s="610">
        <v>1.2847333333333333</v>
      </c>
      <c r="I805" s="611" t="s">
        <v>669</v>
      </c>
      <c r="J805" s="616">
        <v>300</v>
      </c>
      <c r="K805" s="613">
        <v>300</v>
      </c>
      <c r="L805" s="616">
        <v>300</v>
      </c>
      <c r="M805" s="616">
        <v>300</v>
      </c>
      <c r="N805" s="614">
        <v>159.48560999999998</v>
      </c>
      <c r="O805" s="648"/>
      <c r="P805" s="648"/>
      <c r="R805" s="626"/>
      <c r="T805" s="633"/>
      <c r="U805" s="634"/>
    </row>
    <row r="806" spans="2:21" ht="16.5" customHeight="1">
      <c r="B806" s="606" t="s">
        <v>751</v>
      </c>
      <c r="C806" s="654">
        <v>81</v>
      </c>
      <c r="D806" s="607">
        <v>110</v>
      </c>
      <c r="E806" s="608">
        <v>815200</v>
      </c>
      <c r="F806" s="775" t="s">
        <v>1874</v>
      </c>
      <c r="G806" s="610">
        <v>1.53</v>
      </c>
      <c r="H806" s="610">
        <v>1.51</v>
      </c>
      <c r="I806" s="611" t="s">
        <v>669</v>
      </c>
      <c r="J806" s="616">
        <v>436</v>
      </c>
      <c r="K806" s="613">
        <v>425</v>
      </c>
      <c r="L806" s="616">
        <v>393</v>
      </c>
      <c r="M806" s="616">
        <v>393</v>
      </c>
      <c r="N806" s="614">
        <v>394.29091</v>
      </c>
      <c r="O806" s="648"/>
      <c r="P806" s="648"/>
      <c r="R806" s="626"/>
      <c r="T806" s="633"/>
      <c r="U806" s="634"/>
    </row>
    <row r="807" spans="2:21" ht="16.5" customHeight="1">
      <c r="B807" s="606" t="s">
        <v>751</v>
      </c>
      <c r="C807" s="654">
        <v>81</v>
      </c>
      <c r="D807" s="607">
        <v>111</v>
      </c>
      <c r="E807" s="608">
        <v>815200</v>
      </c>
      <c r="F807" s="701" t="s">
        <v>1230</v>
      </c>
      <c r="G807" s="610">
        <v>19.399999999999999</v>
      </c>
      <c r="H807" s="610">
        <v>16.7974</v>
      </c>
      <c r="I807" s="611" t="s">
        <v>669</v>
      </c>
      <c r="J807" s="616">
        <v>2936</v>
      </c>
      <c r="K807" s="613">
        <v>2612</v>
      </c>
      <c r="L807" s="616">
        <v>3055</v>
      </c>
      <c r="M807" s="616">
        <v>3055</v>
      </c>
      <c r="N807" s="614">
        <v>2459.3668600000001</v>
      </c>
      <c r="O807" s="648"/>
      <c r="P807" s="648"/>
      <c r="R807" s="626"/>
      <c r="T807" s="633"/>
      <c r="U807" s="634"/>
    </row>
    <row r="808" spans="2:21" ht="16.5" customHeight="1">
      <c r="B808" s="606" t="s">
        <v>751</v>
      </c>
      <c r="C808" s="654">
        <v>81</v>
      </c>
      <c r="D808" s="607">
        <v>112</v>
      </c>
      <c r="E808" s="608">
        <v>815200</v>
      </c>
      <c r="F808" s="701" t="s">
        <v>1233</v>
      </c>
      <c r="G808" s="610">
        <v>16.579999999999998</v>
      </c>
      <c r="H808" s="610">
        <v>12.860799999999999</v>
      </c>
      <c r="I808" s="611" t="s">
        <v>669</v>
      </c>
      <c r="J808" s="616">
        <v>2830</v>
      </c>
      <c r="K808" s="613">
        <v>2190</v>
      </c>
      <c r="L808" s="616">
        <v>2523</v>
      </c>
      <c r="M808" s="616">
        <v>2523</v>
      </c>
      <c r="N808" s="614">
        <v>2023.2729099999999</v>
      </c>
      <c r="O808" s="648"/>
      <c r="P808" s="648"/>
      <c r="R808" s="626"/>
      <c r="T808" s="633"/>
      <c r="U808" s="634"/>
    </row>
    <row r="809" spans="2:21" ht="16.5" customHeight="1">
      <c r="B809" s="606" t="s">
        <v>751</v>
      </c>
      <c r="C809" s="654">
        <v>81</v>
      </c>
      <c r="D809" s="607">
        <v>113</v>
      </c>
      <c r="E809" s="608">
        <v>815200</v>
      </c>
      <c r="F809" s="701" t="s">
        <v>1234</v>
      </c>
      <c r="G809" s="610">
        <v>14</v>
      </c>
      <c r="H809" s="610">
        <v>10.9</v>
      </c>
      <c r="I809" s="611" t="s">
        <v>669</v>
      </c>
      <c r="J809" s="616">
        <v>2487</v>
      </c>
      <c r="K809" s="613">
        <v>1873</v>
      </c>
      <c r="L809" s="616">
        <v>2020</v>
      </c>
      <c r="M809" s="616">
        <v>2020</v>
      </c>
      <c r="N809" s="614">
        <v>1745.68307</v>
      </c>
      <c r="O809" s="648"/>
      <c r="P809" s="648"/>
      <c r="R809" s="626"/>
      <c r="T809" s="633"/>
      <c r="U809" s="634"/>
    </row>
    <row r="810" spans="2:21" ht="16.5" customHeight="1">
      <c r="B810" s="606" t="s">
        <v>751</v>
      </c>
      <c r="C810" s="654">
        <v>10</v>
      </c>
      <c r="D810" s="607">
        <v>570</v>
      </c>
      <c r="E810" s="608">
        <v>815200</v>
      </c>
      <c r="F810" s="609" t="s">
        <v>608</v>
      </c>
      <c r="G810" s="610"/>
      <c r="H810" s="610"/>
      <c r="I810" s="611" t="s">
        <v>175</v>
      </c>
      <c r="J810" s="616">
        <v>130</v>
      </c>
      <c r="K810" s="613">
        <v>130</v>
      </c>
      <c r="L810" s="616">
        <v>130</v>
      </c>
      <c r="M810" s="616">
        <v>130</v>
      </c>
      <c r="N810" s="614">
        <v>112.14605999999999</v>
      </c>
      <c r="O810" s="648"/>
      <c r="P810" s="648"/>
      <c r="R810" s="626"/>
      <c r="T810" s="633"/>
      <c r="U810" s="634"/>
    </row>
    <row r="811" spans="2:21" ht="16.5" customHeight="1">
      <c r="B811" s="606" t="s">
        <v>751</v>
      </c>
      <c r="C811" s="655">
        <v>81</v>
      </c>
      <c r="D811" s="615">
        <v>750</v>
      </c>
      <c r="E811" s="608">
        <v>815200</v>
      </c>
      <c r="F811" s="609" t="s">
        <v>361</v>
      </c>
      <c r="G811" s="610"/>
      <c r="H811" s="610"/>
      <c r="I811" s="611" t="s">
        <v>175</v>
      </c>
      <c r="J811" s="616">
        <f>1566-59</f>
        <v>1507</v>
      </c>
      <c r="K811" s="613">
        <v>1247</v>
      </c>
      <c r="L811" s="616">
        <v>1313</v>
      </c>
      <c r="M811" s="616">
        <v>1218</v>
      </c>
      <c r="N811" s="614">
        <v>1184.73351</v>
      </c>
      <c r="O811" s="648"/>
      <c r="P811" s="648"/>
      <c r="R811" s="626"/>
      <c r="T811" s="633"/>
      <c r="U811" s="634"/>
    </row>
    <row r="812" spans="2:21" ht="16.5" customHeight="1">
      <c r="B812" s="606" t="s">
        <v>751</v>
      </c>
      <c r="C812" s="654">
        <v>81</v>
      </c>
      <c r="D812" s="607">
        <v>755</v>
      </c>
      <c r="E812" s="608">
        <v>815200</v>
      </c>
      <c r="F812" s="609" t="s">
        <v>1367</v>
      </c>
      <c r="G812" s="610"/>
      <c r="H812" s="610"/>
      <c r="I812" s="611" t="s">
        <v>44</v>
      </c>
      <c r="J812" s="616">
        <v>10</v>
      </c>
      <c r="K812" s="613">
        <v>10</v>
      </c>
      <c r="L812" s="616">
        <v>10</v>
      </c>
      <c r="M812" s="616">
        <v>10</v>
      </c>
      <c r="N812" s="614">
        <v>0</v>
      </c>
      <c r="O812" s="648"/>
      <c r="P812" s="648"/>
      <c r="R812" s="626"/>
      <c r="T812" s="633"/>
      <c r="U812" s="634"/>
    </row>
    <row r="813" spans="2:21" ht="27" customHeight="1">
      <c r="B813" s="606" t="s">
        <v>751</v>
      </c>
      <c r="C813" s="654">
        <v>81</v>
      </c>
      <c r="D813" s="607">
        <v>780</v>
      </c>
      <c r="E813" s="608">
        <v>815200</v>
      </c>
      <c r="F813" s="609" t="s">
        <v>1433</v>
      </c>
      <c r="G813" s="610"/>
      <c r="H813" s="610"/>
      <c r="I813" s="611" t="s">
        <v>175</v>
      </c>
      <c r="J813" s="612">
        <v>180</v>
      </c>
      <c r="K813" s="613">
        <v>63</v>
      </c>
      <c r="L813" s="612">
        <v>300</v>
      </c>
      <c r="M813" s="612">
        <v>300</v>
      </c>
      <c r="N813" s="614">
        <v>173.9238</v>
      </c>
      <c r="O813" s="648"/>
      <c r="P813" s="648"/>
      <c r="R813" s="626"/>
      <c r="T813" s="633"/>
      <c r="U813" s="635"/>
    </row>
    <row r="814" spans="2:21" ht="19.149999999999999" customHeight="1">
      <c r="B814" s="606" t="s">
        <v>751</v>
      </c>
      <c r="C814" s="654">
        <v>81</v>
      </c>
      <c r="D814" s="607">
        <v>781</v>
      </c>
      <c r="E814" s="608">
        <v>815200</v>
      </c>
      <c r="F814" s="609" t="s">
        <v>339</v>
      </c>
      <c r="G814" s="610"/>
      <c r="H814" s="610"/>
      <c r="I814" s="611" t="s">
        <v>44</v>
      </c>
      <c r="J814" s="612">
        <v>33</v>
      </c>
      <c r="K814" s="613">
        <v>33</v>
      </c>
      <c r="L814" s="612">
        <v>33</v>
      </c>
      <c r="M814" s="612">
        <v>33</v>
      </c>
      <c r="N814" s="614">
        <v>20.562999999999999</v>
      </c>
      <c r="O814" s="648"/>
      <c r="P814" s="648"/>
      <c r="R814" s="626"/>
      <c r="T814" s="633"/>
      <c r="U814" s="635"/>
    </row>
    <row r="815" spans="2:21" ht="19.149999999999999" customHeight="1">
      <c r="B815" s="606" t="s">
        <v>751</v>
      </c>
      <c r="C815" s="655">
        <v>81</v>
      </c>
      <c r="D815" s="615">
        <v>784</v>
      </c>
      <c r="E815" s="608">
        <v>815200</v>
      </c>
      <c r="F815" s="710" t="s">
        <v>29</v>
      </c>
      <c r="G815" s="610"/>
      <c r="H815" s="610"/>
      <c r="I815" s="611" t="s">
        <v>44</v>
      </c>
      <c r="J815" s="616">
        <f>589-217</f>
        <v>372</v>
      </c>
      <c r="K815" s="613">
        <v>597</v>
      </c>
      <c r="L815" s="616">
        <v>597</v>
      </c>
      <c r="M815" s="616">
        <v>477</v>
      </c>
      <c r="N815" s="614">
        <v>463.51120000000003</v>
      </c>
      <c r="O815" s="648"/>
      <c r="P815" s="648"/>
      <c r="R815" s="626"/>
      <c r="T815" s="633"/>
      <c r="U815" s="634"/>
    </row>
    <row r="816" spans="2:21" ht="19.149999999999999" customHeight="1">
      <c r="B816" s="606" t="s">
        <v>751</v>
      </c>
      <c r="C816" s="654">
        <v>81</v>
      </c>
      <c r="D816" s="607">
        <v>785</v>
      </c>
      <c r="E816" s="608">
        <v>815200</v>
      </c>
      <c r="F816" s="710" t="s">
        <v>1293</v>
      </c>
      <c r="G816" s="610"/>
      <c r="H816" s="610"/>
      <c r="I816" s="611" t="s">
        <v>44</v>
      </c>
      <c r="J816" s="616">
        <v>19</v>
      </c>
      <c r="K816" s="613">
        <v>20</v>
      </c>
      <c r="L816" s="616">
        <v>20</v>
      </c>
      <c r="M816" s="616">
        <v>20</v>
      </c>
      <c r="N816" s="614">
        <v>0</v>
      </c>
      <c r="O816" s="648"/>
      <c r="P816" s="648"/>
      <c r="R816" s="626"/>
      <c r="T816" s="633"/>
      <c r="U816" s="634"/>
    </row>
    <row r="817" spans="2:21" ht="19.149999999999999" customHeight="1">
      <c r="B817" s="606" t="s">
        <v>751</v>
      </c>
      <c r="C817" s="654">
        <v>82</v>
      </c>
      <c r="D817" s="607">
        <v>873</v>
      </c>
      <c r="E817" s="608">
        <v>815200</v>
      </c>
      <c r="F817" s="609" t="s">
        <v>1294</v>
      </c>
      <c r="G817" s="610"/>
      <c r="H817" s="610"/>
      <c r="I817" s="611" t="s">
        <v>175</v>
      </c>
      <c r="J817" s="616">
        <v>25</v>
      </c>
      <c r="K817" s="613">
        <v>25</v>
      </c>
      <c r="L817" s="616">
        <v>68</v>
      </c>
      <c r="M817" s="616">
        <v>68</v>
      </c>
      <c r="N817" s="614">
        <v>6.81</v>
      </c>
      <c r="O817" s="648"/>
      <c r="P817" s="648"/>
      <c r="R817" s="626"/>
      <c r="T817" s="633"/>
      <c r="U817" s="634"/>
    </row>
    <row r="818" spans="2:21" ht="19.149999999999999" customHeight="1">
      <c r="B818" s="606" t="s">
        <v>751</v>
      </c>
      <c r="C818" s="654">
        <v>81</v>
      </c>
      <c r="D818" s="607">
        <v>878</v>
      </c>
      <c r="E818" s="608">
        <v>815200</v>
      </c>
      <c r="F818" s="795" t="s">
        <v>894</v>
      </c>
      <c r="G818" s="610"/>
      <c r="H818" s="610"/>
      <c r="I818" s="611" t="s">
        <v>44</v>
      </c>
      <c r="J818" s="616">
        <v>2184</v>
      </c>
      <c r="K818" s="613">
        <v>2108</v>
      </c>
      <c r="L818" s="616">
        <v>2108</v>
      </c>
      <c r="M818" s="616">
        <v>2108</v>
      </c>
      <c r="N818" s="614">
        <v>1976.15642</v>
      </c>
      <c r="O818" s="648"/>
      <c r="P818" s="648"/>
      <c r="R818" s="626"/>
      <c r="T818" s="633"/>
      <c r="U818" s="634"/>
    </row>
    <row r="819" spans="2:21" ht="32.25" customHeight="1">
      <c r="B819" s="747"/>
      <c r="C819" s="656"/>
      <c r="D819" s="618"/>
      <c r="E819" s="619" t="s">
        <v>431</v>
      </c>
      <c r="F819" s="755" t="s">
        <v>2283</v>
      </c>
      <c r="G819" s="621">
        <f>SUM(G800:G818)</f>
        <v>311.05999999999995</v>
      </c>
      <c r="H819" s="621">
        <f>SUM(H800:H818)</f>
        <v>292.04484999999994</v>
      </c>
      <c r="I819" s="622"/>
      <c r="J819" s="623">
        <f>SUM(J799:J818)</f>
        <v>80937</v>
      </c>
      <c r="K819" s="624">
        <f>SUM(K799:K818)</f>
        <v>76695</v>
      </c>
      <c r="L819" s="623">
        <f>SUM(L799:L818)</f>
        <v>78283</v>
      </c>
      <c r="M819" s="623">
        <f>SUM(M799:M818)</f>
        <v>76238</v>
      </c>
      <c r="N819" s="625">
        <f>SUM(N799:N818)</f>
        <v>72336.286660000012</v>
      </c>
      <c r="O819" s="648"/>
      <c r="P819" s="648"/>
      <c r="R819" s="626"/>
      <c r="T819" s="633"/>
      <c r="U819" s="632"/>
    </row>
    <row r="820" spans="2:21" ht="17.25" customHeight="1">
      <c r="B820" s="704"/>
      <c r="C820" s="684"/>
      <c r="D820" s="705"/>
      <c r="E820" s="695" t="s">
        <v>626</v>
      </c>
      <c r="F820" s="687" t="s">
        <v>627</v>
      </c>
      <c r="G820" s="706"/>
      <c r="H820" s="706"/>
      <c r="I820" s="707"/>
      <c r="J820" s="690"/>
      <c r="K820" s="693"/>
      <c r="L820" s="690"/>
      <c r="M820" s="690"/>
      <c r="N820" s="708"/>
      <c r="O820" s="648"/>
      <c r="P820" s="648"/>
      <c r="R820" s="626"/>
      <c r="T820" s="633"/>
      <c r="U820" s="632"/>
    </row>
    <row r="821" spans="2:21" ht="17.25" customHeight="1">
      <c r="B821" s="606" t="s">
        <v>627</v>
      </c>
      <c r="C821" s="654">
        <v>81</v>
      </c>
      <c r="D821" s="607">
        <v>100</v>
      </c>
      <c r="E821" s="608">
        <v>815210</v>
      </c>
      <c r="F821" s="609" t="s">
        <v>805</v>
      </c>
      <c r="G821" s="610">
        <v>37.75</v>
      </c>
      <c r="H821" s="610">
        <v>39.013233333333332</v>
      </c>
      <c r="I821" s="611" t="s">
        <v>669</v>
      </c>
      <c r="J821" s="616">
        <v>10426</v>
      </c>
      <c r="K821" s="613">
        <v>10390</v>
      </c>
      <c r="L821" s="616">
        <v>10124</v>
      </c>
      <c r="M821" s="616">
        <v>10124</v>
      </c>
      <c r="N821" s="614">
        <v>9893.1925800000008</v>
      </c>
      <c r="O821" s="648"/>
      <c r="P821" s="648"/>
      <c r="R821" s="626"/>
      <c r="T821" s="633"/>
      <c r="U821" s="634"/>
    </row>
    <row r="822" spans="2:21" ht="17.25" customHeight="1">
      <c r="B822" s="606" t="s">
        <v>627</v>
      </c>
      <c r="C822" s="654">
        <v>81</v>
      </c>
      <c r="D822" s="607">
        <v>104</v>
      </c>
      <c r="E822" s="608">
        <v>815210</v>
      </c>
      <c r="F822" s="609" t="s">
        <v>806</v>
      </c>
      <c r="G822" s="610">
        <v>8.3000000000000007</v>
      </c>
      <c r="H822" s="610">
        <v>6.5010833333333338</v>
      </c>
      <c r="I822" s="611" t="s">
        <v>669</v>
      </c>
      <c r="J822" s="616">
        <v>1278</v>
      </c>
      <c r="K822" s="613">
        <v>954</v>
      </c>
      <c r="L822" s="616">
        <v>1015</v>
      </c>
      <c r="M822" s="616">
        <v>1015</v>
      </c>
      <c r="N822" s="614">
        <v>941.57281999999998</v>
      </c>
      <c r="O822" s="648"/>
      <c r="P822" s="648"/>
      <c r="R822" s="626"/>
      <c r="T822" s="633"/>
      <c r="U822" s="634"/>
    </row>
    <row r="823" spans="2:21" ht="17.25" customHeight="1">
      <c r="B823" s="606" t="s">
        <v>627</v>
      </c>
      <c r="C823" s="654">
        <v>81</v>
      </c>
      <c r="D823" s="607">
        <v>430</v>
      </c>
      <c r="E823" s="608">
        <v>815210</v>
      </c>
      <c r="F823" s="609" t="s">
        <v>192</v>
      </c>
      <c r="G823" s="610"/>
      <c r="H823" s="610"/>
      <c r="I823" s="611" t="s">
        <v>175</v>
      </c>
      <c r="J823" s="616">
        <v>74</v>
      </c>
      <c r="K823" s="613">
        <v>66</v>
      </c>
      <c r="L823" s="616">
        <v>74</v>
      </c>
      <c r="M823" s="616">
        <v>74</v>
      </c>
      <c r="N823" s="614">
        <v>86.83883999999999</v>
      </c>
      <c r="O823" s="648"/>
      <c r="P823" s="648"/>
      <c r="R823" s="626"/>
      <c r="T823" s="633"/>
      <c r="U823" s="634"/>
    </row>
    <row r="824" spans="2:21" ht="17.25" customHeight="1">
      <c r="B824" s="606" t="s">
        <v>627</v>
      </c>
      <c r="C824" s="655">
        <v>81</v>
      </c>
      <c r="D824" s="615">
        <v>750</v>
      </c>
      <c r="E824" s="608">
        <v>815210</v>
      </c>
      <c r="F824" s="609" t="s">
        <v>361</v>
      </c>
      <c r="G824" s="610"/>
      <c r="H824" s="610"/>
      <c r="I824" s="611" t="s">
        <v>175</v>
      </c>
      <c r="J824" s="616">
        <f>357-10</f>
        <v>347</v>
      </c>
      <c r="K824" s="613">
        <v>262</v>
      </c>
      <c r="L824" s="616">
        <v>293</v>
      </c>
      <c r="M824" s="616">
        <v>175</v>
      </c>
      <c r="N824" s="614">
        <v>171.80099999999999</v>
      </c>
      <c r="O824" s="648"/>
      <c r="P824" s="648"/>
      <c r="R824" s="626"/>
      <c r="T824" s="633"/>
      <c r="U824" s="634"/>
    </row>
    <row r="825" spans="2:21" ht="17.25" customHeight="1">
      <c r="B825" s="606" t="s">
        <v>627</v>
      </c>
      <c r="C825" s="654">
        <v>81</v>
      </c>
      <c r="D825" s="607">
        <v>780</v>
      </c>
      <c r="E825" s="608">
        <v>815210</v>
      </c>
      <c r="F825" s="609" t="s">
        <v>820</v>
      </c>
      <c r="G825" s="610"/>
      <c r="H825" s="610"/>
      <c r="I825" s="611" t="s">
        <v>44</v>
      </c>
      <c r="J825" s="616">
        <v>293</v>
      </c>
      <c r="K825" s="613">
        <v>253</v>
      </c>
      <c r="L825" s="616">
        <v>253</v>
      </c>
      <c r="M825" s="616">
        <v>253</v>
      </c>
      <c r="N825" s="614">
        <v>221.30331000000001</v>
      </c>
      <c r="O825" s="648"/>
      <c r="P825" s="648"/>
      <c r="R825" s="626"/>
      <c r="T825" s="633"/>
      <c r="U825" s="634"/>
    </row>
    <row r="826" spans="2:21" ht="17.25" customHeight="1">
      <c r="B826" s="747"/>
      <c r="C826" s="656"/>
      <c r="D826" s="618"/>
      <c r="E826" s="810" t="s">
        <v>626</v>
      </c>
      <c r="F826" s="620" t="s">
        <v>628</v>
      </c>
      <c r="G826" s="621">
        <f>SUM(G821:G825)</f>
        <v>46.05</v>
      </c>
      <c r="H826" s="621">
        <f>SUM(H821:H825)</f>
        <v>45.514316666666666</v>
      </c>
      <c r="I826" s="622"/>
      <c r="J826" s="623">
        <f>SUM(J821:J825)</f>
        <v>12418</v>
      </c>
      <c r="K826" s="624">
        <f>SUM(K821:K825)</f>
        <v>11925</v>
      </c>
      <c r="L826" s="623">
        <f>SUM(L821:L825)</f>
        <v>11759</v>
      </c>
      <c r="M826" s="623">
        <f>SUM(M821:M825)</f>
        <v>11641</v>
      </c>
      <c r="N826" s="625">
        <f>SUM(N821:N825)</f>
        <v>11314.708549999999</v>
      </c>
      <c r="O826" s="648"/>
      <c r="P826" s="648"/>
      <c r="R826" s="626"/>
      <c r="T826" s="633"/>
      <c r="U826" s="632"/>
    </row>
    <row r="827" spans="2:21" ht="17.25" customHeight="1">
      <c r="B827" s="704"/>
      <c r="C827" s="684"/>
      <c r="D827" s="705"/>
      <c r="E827" s="695" t="s">
        <v>1022</v>
      </c>
      <c r="F827" s="687" t="s">
        <v>1023</v>
      </c>
      <c r="G827" s="706"/>
      <c r="H827" s="706"/>
      <c r="I827" s="707"/>
      <c r="J827" s="690"/>
      <c r="K827" s="693"/>
      <c r="L827" s="690"/>
      <c r="M827" s="690"/>
      <c r="N827" s="708"/>
      <c r="O827" s="648"/>
      <c r="P827" s="648"/>
      <c r="R827" s="626"/>
      <c r="T827" s="633"/>
      <c r="U827" s="632"/>
    </row>
    <row r="828" spans="2:21" ht="17.25" customHeight="1">
      <c r="B828" s="606" t="s">
        <v>1024</v>
      </c>
      <c r="C828" s="654">
        <v>81</v>
      </c>
      <c r="D828" s="607">
        <v>100</v>
      </c>
      <c r="E828" s="608">
        <v>815900</v>
      </c>
      <c r="F828" s="609" t="s">
        <v>1025</v>
      </c>
      <c r="G828" s="610">
        <v>22.5</v>
      </c>
      <c r="H828" s="610">
        <v>23.269349999999999</v>
      </c>
      <c r="I828" s="611" t="s">
        <v>669</v>
      </c>
      <c r="J828" s="616">
        <v>4519</v>
      </c>
      <c r="K828" s="613">
        <v>4900</v>
      </c>
      <c r="L828" s="616">
        <v>4595</v>
      </c>
      <c r="M828" s="616">
        <v>4285</v>
      </c>
      <c r="N828" s="614">
        <v>4249.2258499999998</v>
      </c>
      <c r="O828" s="648"/>
      <c r="P828" s="648"/>
      <c r="R828" s="626"/>
      <c r="T828" s="633"/>
      <c r="U828" s="634"/>
    </row>
    <row r="829" spans="2:21" ht="17.25" customHeight="1">
      <c r="B829" s="606" t="s">
        <v>1024</v>
      </c>
      <c r="C829" s="654">
        <v>81</v>
      </c>
      <c r="D829" s="607">
        <v>101</v>
      </c>
      <c r="E829" s="608">
        <v>815900</v>
      </c>
      <c r="F829" s="609" t="s">
        <v>316</v>
      </c>
      <c r="G829" s="610">
        <v>5.13</v>
      </c>
      <c r="H829" s="610">
        <v>4</v>
      </c>
      <c r="I829" s="611" t="s">
        <v>669</v>
      </c>
      <c r="J829" s="616">
        <v>817</v>
      </c>
      <c r="K829" s="613">
        <v>638</v>
      </c>
      <c r="L829" s="616">
        <v>713</v>
      </c>
      <c r="M829" s="616">
        <v>713</v>
      </c>
      <c r="N829" s="614">
        <v>615.51571000000001</v>
      </c>
      <c r="O829" s="648"/>
      <c r="P829" s="648"/>
      <c r="R829" s="626"/>
      <c r="T829" s="633"/>
      <c r="U829" s="634"/>
    </row>
    <row r="830" spans="2:21" ht="17.25" customHeight="1">
      <c r="B830" s="606" t="s">
        <v>1024</v>
      </c>
      <c r="C830" s="654">
        <v>81</v>
      </c>
      <c r="D830" s="607">
        <v>102</v>
      </c>
      <c r="E830" s="608">
        <v>815900</v>
      </c>
      <c r="F830" s="609" t="s">
        <v>1413</v>
      </c>
      <c r="G830" s="610">
        <v>6</v>
      </c>
      <c r="H830" s="610">
        <v>5.3854833333333332</v>
      </c>
      <c r="I830" s="611" t="s">
        <v>669</v>
      </c>
      <c r="J830" s="616">
        <v>560</v>
      </c>
      <c r="K830" s="613">
        <v>560</v>
      </c>
      <c r="L830" s="616">
        <v>560</v>
      </c>
      <c r="M830" s="616">
        <v>560</v>
      </c>
      <c r="N830" s="614">
        <v>469.82446000000004</v>
      </c>
      <c r="O830" s="648"/>
      <c r="P830" s="648"/>
      <c r="R830" s="626"/>
      <c r="T830" s="633"/>
      <c r="U830" s="634"/>
    </row>
    <row r="831" spans="2:21" ht="17.25" customHeight="1">
      <c r="B831" s="606" t="s">
        <v>1024</v>
      </c>
      <c r="C831" s="654">
        <v>81</v>
      </c>
      <c r="D831" s="607">
        <v>430</v>
      </c>
      <c r="E831" s="608">
        <v>815900</v>
      </c>
      <c r="F831" s="609" t="s">
        <v>446</v>
      </c>
      <c r="G831" s="610"/>
      <c r="H831" s="610"/>
      <c r="I831" s="611" t="s">
        <v>175</v>
      </c>
      <c r="J831" s="616">
        <v>70</v>
      </c>
      <c r="K831" s="613">
        <v>65</v>
      </c>
      <c r="L831" s="616">
        <v>85</v>
      </c>
      <c r="M831" s="616">
        <v>85</v>
      </c>
      <c r="N831" s="614">
        <v>61.982610000000001</v>
      </c>
      <c r="O831" s="648"/>
      <c r="P831" s="648"/>
      <c r="R831" s="626"/>
      <c r="T831" s="633"/>
      <c r="U831" s="634"/>
    </row>
    <row r="832" spans="2:21" ht="17.25" customHeight="1">
      <c r="B832" s="606" t="s">
        <v>1024</v>
      </c>
      <c r="C832" s="654">
        <v>81</v>
      </c>
      <c r="D832" s="607">
        <v>432</v>
      </c>
      <c r="E832" s="608">
        <v>815900</v>
      </c>
      <c r="F832" s="609" t="s">
        <v>103</v>
      </c>
      <c r="G832" s="610"/>
      <c r="H832" s="610"/>
      <c r="I832" s="611" t="s">
        <v>175</v>
      </c>
      <c r="J832" s="616">
        <v>56</v>
      </c>
      <c r="K832" s="613">
        <v>53</v>
      </c>
      <c r="L832" s="616">
        <v>53</v>
      </c>
      <c r="M832" s="616">
        <v>53</v>
      </c>
      <c r="N832" s="614">
        <v>56.611499999999999</v>
      </c>
      <c r="O832" s="648"/>
      <c r="P832" s="648"/>
      <c r="R832" s="626"/>
      <c r="T832" s="633"/>
      <c r="U832" s="634"/>
    </row>
    <row r="833" spans="2:21" ht="17.25" customHeight="1">
      <c r="B833" s="606" t="s">
        <v>1024</v>
      </c>
      <c r="C833" s="654">
        <v>81</v>
      </c>
      <c r="D833" s="607">
        <v>511</v>
      </c>
      <c r="E833" s="608">
        <v>815900</v>
      </c>
      <c r="F833" s="609" t="s">
        <v>1682</v>
      </c>
      <c r="G833" s="610"/>
      <c r="H833" s="610"/>
      <c r="I833" s="611" t="s">
        <v>44</v>
      </c>
      <c r="J833" s="616">
        <v>4</v>
      </c>
      <c r="K833" s="613">
        <v>4</v>
      </c>
      <c r="L833" s="616">
        <v>4</v>
      </c>
      <c r="M833" s="616">
        <v>4</v>
      </c>
      <c r="N833" s="614">
        <v>4</v>
      </c>
      <c r="O833" s="648"/>
      <c r="P833" s="648"/>
      <c r="R833" s="626"/>
      <c r="T833" s="633"/>
      <c r="U833" s="634"/>
    </row>
    <row r="834" spans="2:21" ht="17.25" customHeight="1">
      <c r="B834" s="606" t="s">
        <v>1024</v>
      </c>
      <c r="C834" s="654">
        <v>10</v>
      </c>
      <c r="D834" s="607">
        <v>540</v>
      </c>
      <c r="E834" s="608">
        <v>815900</v>
      </c>
      <c r="F834" s="609" t="s">
        <v>1648</v>
      </c>
      <c r="G834" s="610"/>
      <c r="H834" s="610"/>
      <c r="I834" s="611" t="s">
        <v>175</v>
      </c>
      <c r="J834" s="616">
        <v>7</v>
      </c>
      <c r="K834" s="613">
        <v>7</v>
      </c>
      <c r="L834" s="616">
        <v>7</v>
      </c>
      <c r="M834" s="616">
        <v>10</v>
      </c>
      <c r="N834" s="614">
        <v>6.3534799999999994</v>
      </c>
      <c r="O834" s="648"/>
      <c r="P834" s="648"/>
      <c r="R834" s="626"/>
      <c r="T834" s="633"/>
      <c r="U834" s="634"/>
    </row>
    <row r="835" spans="2:21" ht="17.25" customHeight="1">
      <c r="B835" s="606" t="s">
        <v>1024</v>
      </c>
      <c r="C835" s="655">
        <v>81</v>
      </c>
      <c r="D835" s="615">
        <v>720</v>
      </c>
      <c r="E835" s="608">
        <v>815900</v>
      </c>
      <c r="F835" s="609" t="s">
        <v>820</v>
      </c>
      <c r="G835" s="610"/>
      <c r="H835" s="610"/>
      <c r="I835" s="611" t="s">
        <v>44</v>
      </c>
      <c r="J835" s="616">
        <v>57</v>
      </c>
      <c r="K835" s="613">
        <v>57</v>
      </c>
      <c r="L835" s="616">
        <v>57</v>
      </c>
      <c r="M835" s="616">
        <v>60</v>
      </c>
      <c r="N835" s="614">
        <v>64.087000000000003</v>
      </c>
      <c r="O835" s="648"/>
      <c r="P835" s="648"/>
      <c r="R835" s="626"/>
      <c r="T835" s="633"/>
      <c r="U835" s="634"/>
    </row>
    <row r="836" spans="2:21" ht="19.149999999999999" customHeight="1">
      <c r="B836" s="606" t="s">
        <v>1024</v>
      </c>
      <c r="C836" s="654">
        <v>81</v>
      </c>
      <c r="D836" s="607">
        <v>740</v>
      </c>
      <c r="E836" s="608">
        <v>815900</v>
      </c>
      <c r="F836" s="609" t="s">
        <v>439</v>
      </c>
      <c r="G836" s="610"/>
      <c r="H836" s="610"/>
      <c r="I836" s="611" t="s">
        <v>44</v>
      </c>
      <c r="J836" s="616">
        <v>19</v>
      </c>
      <c r="K836" s="613">
        <v>20</v>
      </c>
      <c r="L836" s="616">
        <v>20</v>
      </c>
      <c r="M836" s="616">
        <v>20</v>
      </c>
      <c r="N836" s="614">
        <v>20</v>
      </c>
      <c r="O836" s="648"/>
      <c r="P836" s="648"/>
      <c r="R836" s="626"/>
      <c r="T836" s="633"/>
      <c r="U836" s="634"/>
    </row>
    <row r="837" spans="2:21" ht="18.649999999999999" customHeight="1">
      <c r="B837" s="606" t="s">
        <v>1024</v>
      </c>
      <c r="C837" s="654">
        <v>5</v>
      </c>
      <c r="D837" s="607">
        <v>742</v>
      </c>
      <c r="E837" s="608">
        <v>815900</v>
      </c>
      <c r="F837" s="609" t="s">
        <v>609</v>
      </c>
      <c r="G837" s="610"/>
      <c r="H837" s="610"/>
      <c r="I837" s="611" t="s">
        <v>175</v>
      </c>
      <c r="J837" s="616">
        <v>9</v>
      </c>
      <c r="K837" s="613">
        <v>9</v>
      </c>
      <c r="L837" s="616">
        <v>9</v>
      </c>
      <c r="M837" s="616">
        <v>9</v>
      </c>
      <c r="N837" s="614">
        <v>7.0289700000000002</v>
      </c>
      <c r="O837" s="648"/>
      <c r="P837" s="648"/>
      <c r="R837" s="626"/>
      <c r="T837" s="633"/>
      <c r="U837" s="634"/>
    </row>
    <row r="838" spans="2:21" ht="18.649999999999999" customHeight="1">
      <c r="B838" s="606" t="s">
        <v>1024</v>
      </c>
      <c r="C838" s="655">
        <v>81</v>
      </c>
      <c r="D838" s="615">
        <v>750</v>
      </c>
      <c r="E838" s="608">
        <v>815900</v>
      </c>
      <c r="F838" s="609" t="s">
        <v>361</v>
      </c>
      <c r="G838" s="610"/>
      <c r="H838" s="610"/>
      <c r="I838" s="611" t="s">
        <v>175</v>
      </c>
      <c r="J838" s="616">
        <f>191-6</f>
        <v>185</v>
      </c>
      <c r="K838" s="613">
        <v>170</v>
      </c>
      <c r="L838" s="616">
        <v>170</v>
      </c>
      <c r="M838" s="616">
        <v>158</v>
      </c>
      <c r="N838" s="614">
        <v>154.10508999999999</v>
      </c>
      <c r="O838" s="648"/>
      <c r="P838" s="648"/>
      <c r="R838" s="626"/>
      <c r="T838" s="633"/>
      <c r="U838" s="634"/>
    </row>
    <row r="839" spans="2:21" ht="27.75" customHeight="1">
      <c r="B839" s="606" t="s">
        <v>1024</v>
      </c>
      <c r="C839" s="654">
        <v>81</v>
      </c>
      <c r="D839" s="607">
        <v>780</v>
      </c>
      <c r="E839" s="608">
        <v>815900</v>
      </c>
      <c r="F839" s="703" t="s">
        <v>1414</v>
      </c>
      <c r="G839" s="610"/>
      <c r="H839" s="610"/>
      <c r="I839" s="611" t="s">
        <v>44</v>
      </c>
      <c r="J839" s="616">
        <v>752</v>
      </c>
      <c r="K839" s="613">
        <v>752</v>
      </c>
      <c r="L839" s="616">
        <v>752</v>
      </c>
      <c r="M839" s="616">
        <v>752</v>
      </c>
      <c r="N839" s="614">
        <v>734.16829000000007</v>
      </c>
      <c r="O839" s="648"/>
      <c r="P839" s="648"/>
      <c r="R839" s="626"/>
      <c r="T839" s="633"/>
      <c r="U839" s="634"/>
    </row>
    <row r="840" spans="2:21" ht="27" customHeight="1">
      <c r="B840" s="606" t="s">
        <v>1024</v>
      </c>
      <c r="C840" s="654">
        <v>81</v>
      </c>
      <c r="D840" s="607">
        <v>781</v>
      </c>
      <c r="E840" s="608">
        <v>815900</v>
      </c>
      <c r="F840" s="703" t="s">
        <v>1965</v>
      </c>
      <c r="G840" s="610"/>
      <c r="H840" s="610"/>
      <c r="I840" s="611" t="s">
        <v>44</v>
      </c>
      <c r="J840" s="616">
        <v>0</v>
      </c>
      <c r="K840" s="613">
        <v>75</v>
      </c>
      <c r="L840" s="616">
        <v>75</v>
      </c>
      <c r="M840" s="616">
        <v>75</v>
      </c>
      <c r="N840" s="614">
        <v>0</v>
      </c>
      <c r="O840" s="648"/>
      <c r="P840" s="648"/>
      <c r="R840" s="626"/>
      <c r="T840" s="633"/>
      <c r="U840" s="634"/>
    </row>
    <row r="841" spans="2:21" ht="19.149999999999999" customHeight="1">
      <c r="B841" s="747"/>
      <c r="C841" s="656"/>
      <c r="D841" s="618"/>
      <c r="E841" s="619" t="s">
        <v>1022</v>
      </c>
      <c r="F841" s="620" t="s">
        <v>1026</v>
      </c>
      <c r="G841" s="621">
        <f>SUM(G828:G840)</f>
        <v>33.629999999999995</v>
      </c>
      <c r="H841" s="621">
        <f>SUM(H828:H840)</f>
        <v>32.654833333333329</v>
      </c>
      <c r="I841" s="622"/>
      <c r="J841" s="623">
        <f>SUM(J828:J840)</f>
        <v>7055</v>
      </c>
      <c r="K841" s="624">
        <f>SUM(K828:K840)</f>
        <v>7310</v>
      </c>
      <c r="L841" s="623">
        <f>SUM(L828:L840)</f>
        <v>7100</v>
      </c>
      <c r="M841" s="623">
        <f>SUM(M828:M840)</f>
        <v>6784</v>
      </c>
      <c r="N841" s="625">
        <f>SUM(N828:N840)</f>
        <v>6442.9029599999994</v>
      </c>
      <c r="O841" s="648"/>
      <c r="P841" s="648"/>
      <c r="R841" s="626"/>
      <c r="T841" s="633"/>
      <c r="U841" s="632"/>
    </row>
    <row r="842" spans="2:21" ht="19.149999999999999" customHeight="1">
      <c r="B842" s="704"/>
      <c r="C842" s="684"/>
      <c r="D842" s="705"/>
      <c r="E842" s="695" t="s">
        <v>1199</v>
      </c>
      <c r="F842" s="687" t="s">
        <v>1200</v>
      </c>
      <c r="G842" s="706"/>
      <c r="H842" s="706"/>
      <c r="I842" s="707"/>
      <c r="J842" s="690"/>
      <c r="K842" s="693"/>
      <c r="L842" s="690"/>
      <c r="M842" s="690"/>
      <c r="N842" s="708"/>
      <c r="O842" s="648"/>
      <c r="P842" s="648"/>
      <c r="R842" s="626"/>
      <c r="T842" s="633"/>
      <c r="U842" s="632"/>
    </row>
    <row r="843" spans="2:21" ht="19.149999999999999" customHeight="1">
      <c r="B843" s="606" t="s">
        <v>1201</v>
      </c>
      <c r="C843" s="654">
        <v>1</v>
      </c>
      <c r="D843" s="607">
        <v>850</v>
      </c>
      <c r="E843" s="608">
        <v>816800</v>
      </c>
      <c r="F843" s="609" t="s">
        <v>1286</v>
      </c>
      <c r="G843" s="610"/>
      <c r="H843" s="610"/>
      <c r="I843" s="611" t="s">
        <v>175</v>
      </c>
      <c r="J843" s="616">
        <v>400</v>
      </c>
      <c r="K843" s="613">
        <v>300</v>
      </c>
      <c r="L843" s="616">
        <v>300</v>
      </c>
      <c r="M843" s="616">
        <v>300</v>
      </c>
      <c r="N843" s="614">
        <v>226.5</v>
      </c>
      <c r="O843" s="648"/>
      <c r="P843" s="648"/>
      <c r="R843" s="626"/>
      <c r="T843" s="633"/>
      <c r="U843" s="634"/>
    </row>
    <row r="844" spans="2:21" ht="19.149999999999999" customHeight="1">
      <c r="B844" s="747"/>
      <c r="C844" s="656"/>
      <c r="D844" s="618"/>
      <c r="E844" s="619" t="s">
        <v>1199</v>
      </c>
      <c r="F844" s="620" t="s">
        <v>1202</v>
      </c>
      <c r="G844" s="621">
        <f>SUM(G842:H843)</f>
        <v>0</v>
      </c>
      <c r="H844" s="621">
        <f>SUM(H842:I843)</f>
        <v>0</v>
      </c>
      <c r="I844" s="622"/>
      <c r="J844" s="623">
        <f>SUM(J842:J843)</f>
        <v>400</v>
      </c>
      <c r="K844" s="624">
        <f>SUM(K842:K843)</f>
        <v>300</v>
      </c>
      <c r="L844" s="623">
        <f>SUM(L842:L843)</f>
        <v>300</v>
      </c>
      <c r="M844" s="623">
        <f>SUM(M842:M843)</f>
        <v>300</v>
      </c>
      <c r="N844" s="625">
        <f>SUM(N842:N843)</f>
        <v>226.5</v>
      </c>
      <c r="O844" s="648"/>
      <c r="P844" s="648"/>
      <c r="R844" s="626"/>
      <c r="T844" s="633"/>
      <c r="U844" s="632"/>
    </row>
    <row r="845" spans="2:21" ht="14">
      <c r="B845" s="704"/>
      <c r="C845" s="684"/>
      <c r="D845" s="705"/>
      <c r="E845" s="695" t="s">
        <v>1027</v>
      </c>
      <c r="F845" s="687" t="s">
        <v>1028</v>
      </c>
      <c r="G845" s="706"/>
      <c r="H845" s="706"/>
      <c r="I845" s="707"/>
      <c r="J845" s="690"/>
      <c r="K845" s="693"/>
      <c r="L845" s="690"/>
      <c r="M845" s="690"/>
      <c r="N845" s="708"/>
      <c r="O845" s="648"/>
      <c r="P845" s="648"/>
      <c r="R845" s="626"/>
      <c r="T845" s="633"/>
      <c r="U845" s="632"/>
    </row>
    <row r="846" spans="2:21" ht="19.149999999999999" customHeight="1">
      <c r="B846" s="606" t="s">
        <v>1028</v>
      </c>
      <c r="C846" s="654">
        <v>9</v>
      </c>
      <c r="D846" s="607">
        <v>100</v>
      </c>
      <c r="E846" s="608">
        <v>817100</v>
      </c>
      <c r="F846" s="710" t="s">
        <v>1029</v>
      </c>
      <c r="G846" s="610">
        <v>3</v>
      </c>
      <c r="H846" s="610">
        <v>3</v>
      </c>
      <c r="I846" s="611" t="s">
        <v>669</v>
      </c>
      <c r="J846" s="616">
        <v>596</v>
      </c>
      <c r="K846" s="613">
        <v>582</v>
      </c>
      <c r="L846" s="616">
        <v>604</v>
      </c>
      <c r="M846" s="616">
        <v>604</v>
      </c>
      <c r="N846" s="614">
        <v>380.93316999999996</v>
      </c>
      <c r="O846" s="648"/>
      <c r="P846" s="648"/>
      <c r="R846" s="626"/>
      <c r="T846" s="633"/>
      <c r="U846" s="634"/>
    </row>
    <row r="847" spans="2:21" ht="28">
      <c r="B847" s="606" t="s">
        <v>1028</v>
      </c>
      <c r="C847" s="654">
        <v>9</v>
      </c>
      <c r="D847" s="607">
        <v>541</v>
      </c>
      <c r="E847" s="608">
        <v>817100</v>
      </c>
      <c r="F847" s="710" t="s">
        <v>1834</v>
      </c>
      <c r="G847" s="610"/>
      <c r="H847" s="610"/>
      <c r="I847" s="611" t="s">
        <v>175</v>
      </c>
      <c r="J847" s="616">
        <v>110</v>
      </c>
      <c r="K847" s="613">
        <v>110</v>
      </c>
      <c r="L847" s="616">
        <v>110</v>
      </c>
      <c r="M847" s="616">
        <v>110</v>
      </c>
      <c r="N847" s="614">
        <v>88.104649999999992</v>
      </c>
      <c r="O847" s="648"/>
      <c r="P847" s="648"/>
      <c r="R847" s="626"/>
      <c r="T847" s="633"/>
      <c r="U847" s="634"/>
    </row>
    <row r="848" spans="2:21" ht="19.149999999999999" customHeight="1">
      <c r="B848" s="606" t="s">
        <v>1028</v>
      </c>
      <c r="C848" s="654">
        <v>5</v>
      </c>
      <c r="D848" s="607">
        <v>720</v>
      </c>
      <c r="E848" s="608">
        <v>817100</v>
      </c>
      <c r="F848" s="811" t="s">
        <v>965</v>
      </c>
      <c r="G848" s="610"/>
      <c r="H848" s="610"/>
      <c r="I848" s="611" t="s">
        <v>44</v>
      </c>
      <c r="J848" s="616">
        <v>126</v>
      </c>
      <c r="K848" s="613">
        <v>126</v>
      </c>
      <c r="L848" s="616">
        <v>126</v>
      </c>
      <c r="M848" s="616">
        <v>126</v>
      </c>
      <c r="N848" s="614">
        <v>115.49373</v>
      </c>
      <c r="O848" s="648"/>
      <c r="P848" s="648"/>
      <c r="R848" s="626"/>
      <c r="T848" s="633"/>
      <c r="U848" s="634"/>
    </row>
    <row r="849" spans="2:21" ht="19.149999999999999" customHeight="1">
      <c r="B849" s="606" t="s">
        <v>1028</v>
      </c>
      <c r="C849" s="655">
        <v>10</v>
      </c>
      <c r="D849" s="615">
        <v>721</v>
      </c>
      <c r="E849" s="608">
        <v>817100</v>
      </c>
      <c r="F849" s="811" t="s">
        <v>1642</v>
      </c>
      <c r="G849" s="610"/>
      <c r="H849" s="610"/>
      <c r="I849" s="611" t="s">
        <v>44</v>
      </c>
      <c r="J849" s="616">
        <v>0</v>
      </c>
      <c r="K849" s="613">
        <v>0</v>
      </c>
      <c r="L849" s="616">
        <v>0</v>
      </c>
      <c r="M849" s="616">
        <v>5</v>
      </c>
      <c r="N849" s="614">
        <v>1.016</v>
      </c>
      <c r="O849" s="648"/>
      <c r="P849" s="648"/>
      <c r="R849" s="626"/>
      <c r="T849" s="633"/>
      <c r="U849" s="634"/>
    </row>
    <row r="850" spans="2:21" ht="19.149999999999999" customHeight="1">
      <c r="B850" s="606" t="s">
        <v>1028</v>
      </c>
      <c r="C850" s="654">
        <v>5</v>
      </c>
      <c r="D850" s="607">
        <v>730</v>
      </c>
      <c r="E850" s="608">
        <v>817100</v>
      </c>
      <c r="F850" s="710" t="s">
        <v>869</v>
      </c>
      <c r="G850" s="610"/>
      <c r="H850" s="610"/>
      <c r="I850" s="611" t="s">
        <v>175</v>
      </c>
      <c r="J850" s="616">
        <f>120+30</f>
        <v>150</v>
      </c>
      <c r="K850" s="613">
        <v>120</v>
      </c>
      <c r="L850" s="616">
        <v>120</v>
      </c>
      <c r="M850" s="616">
        <v>120</v>
      </c>
      <c r="N850" s="614">
        <v>56.566079999999999</v>
      </c>
      <c r="O850" s="648"/>
      <c r="P850" s="648"/>
      <c r="R850" s="626"/>
      <c r="T850" s="633"/>
      <c r="U850" s="634"/>
    </row>
    <row r="851" spans="2:21" ht="19.149999999999999" customHeight="1">
      <c r="B851" s="606" t="s">
        <v>1028</v>
      </c>
      <c r="C851" s="655">
        <v>9</v>
      </c>
      <c r="D851" s="615">
        <v>750</v>
      </c>
      <c r="E851" s="608">
        <v>817100</v>
      </c>
      <c r="F851" s="609" t="s">
        <v>1028</v>
      </c>
      <c r="G851" s="610"/>
      <c r="H851" s="610"/>
      <c r="I851" s="611" t="s">
        <v>175</v>
      </c>
      <c r="J851" s="616">
        <v>5100</v>
      </c>
      <c r="K851" s="613">
        <v>4600</v>
      </c>
      <c r="L851" s="616">
        <v>4897</v>
      </c>
      <c r="M851" s="616">
        <v>5100</v>
      </c>
      <c r="N851" s="614">
        <v>4494.6973499999995</v>
      </c>
      <c r="O851" s="648"/>
      <c r="P851" s="648"/>
      <c r="R851" s="626"/>
      <c r="T851" s="633"/>
      <c r="U851" s="634"/>
    </row>
    <row r="852" spans="2:21" ht="19.149999999999999" customHeight="1">
      <c r="B852" s="606" t="s">
        <v>1028</v>
      </c>
      <c r="C852" s="654">
        <v>9</v>
      </c>
      <c r="D852" s="607">
        <v>752</v>
      </c>
      <c r="E852" s="608">
        <v>817100</v>
      </c>
      <c r="F852" s="609" t="s">
        <v>1803</v>
      </c>
      <c r="G852" s="610"/>
      <c r="H852" s="610"/>
      <c r="I852" s="611" t="s">
        <v>175</v>
      </c>
      <c r="J852" s="616">
        <v>15</v>
      </c>
      <c r="K852" s="613">
        <v>15</v>
      </c>
      <c r="L852" s="616">
        <v>15</v>
      </c>
      <c r="M852" s="616">
        <v>15</v>
      </c>
      <c r="N852" s="614">
        <v>13.72775</v>
      </c>
      <c r="O852" s="648"/>
      <c r="P852" s="648"/>
      <c r="R852" s="626"/>
      <c r="T852" s="633"/>
      <c r="U852" s="634"/>
    </row>
    <row r="853" spans="2:21" ht="19.149999999999999" customHeight="1">
      <c r="B853" s="749"/>
      <c r="C853" s="712"/>
      <c r="D853" s="713"/>
      <c r="E853" s="714" t="s">
        <v>1027</v>
      </c>
      <c r="F853" s="715" t="s">
        <v>503</v>
      </c>
      <c r="G853" s="716">
        <f>SUM(G846:G851)</f>
        <v>3</v>
      </c>
      <c r="H853" s="716">
        <f>SUM(H846:H851)</f>
        <v>3</v>
      </c>
      <c r="I853" s="717"/>
      <c r="J853" s="718">
        <f>SUM(J846:J852)</f>
        <v>6097</v>
      </c>
      <c r="K853" s="719">
        <f>SUM(K846:K852)</f>
        <v>5553</v>
      </c>
      <c r="L853" s="718">
        <f>SUM(L846:L852)</f>
        <v>5872</v>
      </c>
      <c r="M853" s="718">
        <f>SUM(M846:M852)</f>
        <v>6080</v>
      </c>
      <c r="N853" s="720">
        <f>SUM(N846:N852)</f>
        <v>5150.5387299999993</v>
      </c>
      <c r="O853" s="648"/>
      <c r="P853" s="648"/>
      <c r="R853" s="626"/>
      <c r="T853" s="633"/>
      <c r="U853" s="632"/>
    </row>
    <row r="854" spans="2:21" ht="19.149999999999999" customHeight="1">
      <c r="B854" s="704"/>
      <c r="C854" s="684"/>
      <c r="D854" s="705"/>
      <c r="E854" s="695" t="s">
        <v>504</v>
      </c>
      <c r="F854" s="687" t="s">
        <v>1185</v>
      </c>
      <c r="G854" s="706"/>
      <c r="H854" s="706"/>
      <c r="I854" s="707"/>
      <c r="J854" s="690"/>
      <c r="K854" s="693"/>
      <c r="L854" s="690"/>
      <c r="M854" s="690"/>
      <c r="N854" s="708"/>
      <c r="O854" s="648"/>
      <c r="P854" s="648"/>
      <c r="R854" s="626"/>
      <c r="T854" s="633"/>
      <c r="U854" s="632"/>
    </row>
    <row r="855" spans="2:21" ht="19.149999999999999" customHeight="1">
      <c r="B855" s="606" t="s">
        <v>505</v>
      </c>
      <c r="C855" s="654">
        <v>81</v>
      </c>
      <c r="D855" s="607">
        <v>100</v>
      </c>
      <c r="E855" s="608">
        <v>817200</v>
      </c>
      <c r="F855" s="609" t="s">
        <v>848</v>
      </c>
      <c r="G855" s="610">
        <v>2.95</v>
      </c>
      <c r="H855" s="610">
        <v>2.9424000000000001</v>
      </c>
      <c r="I855" s="611" t="s">
        <v>669</v>
      </c>
      <c r="J855" s="616">
        <v>598</v>
      </c>
      <c r="K855" s="613">
        <v>585</v>
      </c>
      <c r="L855" s="616">
        <v>586</v>
      </c>
      <c r="M855" s="616">
        <v>586</v>
      </c>
      <c r="N855" s="614">
        <v>553.30217000000005</v>
      </c>
      <c r="O855" s="648"/>
      <c r="P855" s="648"/>
      <c r="R855" s="626"/>
      <c r="T855" s="633"/>
      <c r="U855" s="634"/>
    </row>
    <row r="856" spans="2:21" ht="19.149999999999999" customHeight="1">
      <c r="B856" s="606" t="s">
        <v>505</v>
      </c>
      <c r="C856" s="654">
        <v>5</v>
      </c>
      <c r="D856" s="607">
        <v>420</v>
      </c>
      <c r="E856" s="608">
        <v>817200</v>
      </c>
      <c r="F856" s="609" t="s">
        <v>544</v>
      </c>
      <c r="G856" s="610"/>
      <c r="H856" s="610"/>
      <c r="I856" s="611" t="s">
        <v>44</v>
      </c>
      <c r="J856" s="616">
        <v>3</v>
      </c>
      <c r="K856" s="613">
        <v>3</v>
      </c>
      <c r="L856" s="616">
        <v>3</v>
      </c>
      <c r="M856" s="616">
        <v>3</v>
      </c>
      <c r="N856" s="614">
        <v>2.1059999999999999</v>
      </c>
      <c r="O856" s="648"/>
      <c r="P856" s="648"/>
      <c r="R856" s="626"/>
      <c r="T856" s="633"/>
      <c r="U856" s="634"/>
    </row>
    <row r="857" spans="2:21" ht="19.149999999999999" customHeight="1">
      <c r="B857" s="606" t="s">
        <v>505</v>
      </c>
      <c r="C857" s="654">
        <v>81</v>
      </c>
      <c r="D857" s="607">
        <v>430</v>
      </c>
      <c r="E857" s="608">
        <v>817200</v>
      </c>
      <c r="F857" s="609" t="s">
        <v>52</v>
      </c>
      <c r="G857" s="610"/>
      <c r="H857" s="610"/>
      <c r="I857" s="611" t="s">
        <v>175</v>
      </c>
      <c r="J857" s="616">
        <v>45</v>
      </c>
      <c r="K857" s="613">
        <v>35</v>
      </c>
      <c r="L857" s="616">
        <v>47</v>
      </c>
      <c r="M857" s="616">
        <v>47</v>
      </c>
      <c r="N857" s="614">
        <v>43.710839999999997</v>
      </c>
      <c r="O857" s="648"/>
      <c r="P857" s="648"/>
      <c r="R857" s="626"/>
      <c r="T857" s="633"/>
      <c r="U857" s="634"/>
    </row>
    <row r="858" spans="2:21" ht="19.149999999999999" customHeight="1">
      <c r="B858" s="606" t="s">
        <v>505</v>
      </c>
      <c r="C858" s="654">
        <v>81</v>
      </c>
      <c r="D858" s="607">
        <v>432</v>
      </c>
      <c r="E858" s="608">
        <v>817200</v>
      </c>
      <c r="F858" s="609" t="s">
        <v>1322</v>
      </c>
      <c r="G858" s="610"/>
      <c r="H858" s="610"/>
      <c r="I858" s="611" t="s">
        <v>175</v>
      </c>
      <c r="J858" s="616">
        <v>25</v>
      </c>
      <c r="K858" s="613">
        <v>25</v>
      </c>
      <c r="L858" s="616">
        <v>25</v>
      </c>
      <c r="M858" s="616">
        <v>25</v>
      </c>
      <c r="N858" s="614">
        <v>44.174599999999998</v>
      </c>
      <c r="O858" s="648"/>
      <c r="P858" s="648"/>
      <c r="R858" s="626"/>
      <c r="T858" s="633"/>
      <c r="U858" s="634"/>
    </row>
    <row r="859" spans="2:21" ht="19.149999999999999" customHeight="1">
      <c r="B859" s="606" t="s">
        <v>505</v>
      </c>
      <c r="C859" s="654">
        <v>81</v>
      </c>
      <c r="D859" s="607">
        <v>750</v>
      </c>
      <c r="E859" s="608">
        <v>817200</v>
      </c>
      <c r="F859" s="609" t="s">
        <v>361</v>
      </c>
      <c r="G859" s="610"/>
      <c r="H859" s="610"/>
      <c r="I859" s="611" t="s">
        <v>175</v>
      </c>
      <c r="J859" s="616">
        <v>178</v>
      </c>
      <c r="K859" s="613">
        <v>164</v>
      </c>
      <c r="L859" s="616">
        <v>164</v>
      </c>
      <c r="M859" s="616">
        <v>164</v>
      </c>
      <c r="N859" s="614">
        <v>153.01535000000001</v>
      </c>
      <c r="O859" s="648"/>
      <c r="P859" s="648"/>
      <c r="R859" s="626"/>
      <c r="T859" s="633"/>
      <c r="U859" s="634"/>
    </row>
    <row r="860" spans="2:21" ht="19.149999999999999" customHeight="1">
      <c r="B860" s="606" t="s">
        <v>505</v>
      </c>
      <c r="C860" s="654">
        <v>5</v>
      </c>
      <c r="D860" s="607">
        <v>751</v>
      </c>
      <c r="E860" s="608">
        <v>817200</v>
      </c>
      <c r="F860" s="609" t="s">
        <v>1276</v>
      </c>
      <c r="G860" s="610"/>
      <c r="H860" s="610"/>
      <c r="I860" s="611" t="s">
        <v>175</v>
      </c>
      <c r="J860" s="616">
        <v>14</v>
      </c>
      <c r="K860" s="613">
        <v>14</v>
      </c>
      <c r="L860" s="616">
        <v>14</v>
      </c>
      <c r="M860" s="616">
        <v>14</v>
      </c>
      <c r="N860" s="614">
        <v>11.90085</v>
      </c>
      <c r="O860" s="648"/>
      <c r="P860" s="648"/>
      <c r="R860" s="626"/>
      <c r="T860" s="633"/>
      <c r="U860" s="634"/>
    </row>
    <row r="861" spans="2:21" ht="19.149999999999999" customHeight="1">
      <c r="B861" s="606" t="s">
        <v>505</v>
      </c>
      <c r="C861" s="655">
        <v>81</v>
      </c>
      <c r="D861" s="615">
        <v>870</v>
      </c>
      <c r="E861" s="608">
        <v>817200</v>
      </c>
      <c r="F861" s="609" t="s">
        <v>417</v>
      </c>
      <c r="G861" s="610"/>
      <c r="H861" s="610"/>
      <c r="I861" s="611" t="s">
        <v>44</v>
      </c>
      <c r="J861" s="616">
        <v>44</v>
      </c>
      <c r="K861" s="613">
        <v>44</v>
      </c>
      <c r="L861" s="616">
        <v>44</v>
      </c>
      <c r="M861" s="616">
        <v>46</v>
      </c>
      <c r="N861" s="614">
        <v>46</v>
      </c>
      <c r="O861" s="648"/>
      <c r="P861" s="648"/>
      <c r="R861" s="626"/>
      <c r="T861" s="633"/>
      <c r="U861" s="634"/>
    </row>
    <row r="862" spans="2:21" ht="19.149999999999999" customHeight="1">
      <c r="B862" s="747"/>
      <c r="C862" s="656"/>
      <c r="D862" s="618"/>
      <c r="E862" s="619" t="s">
        <v>504</v>
      </c>
      <c r="F862" s="620" t="s">
        <v>793</v>
      </c>
      <c r="G862" s="621">
        <f>SUM(G855:G861)</f>
        <v>2.95</v>
      </c>
      <c r="H862" s="621">
        <f>SUM(H855:H861)</f>
        <v>2.9424000000000001</v>
      </c>
      <c r="I862" s="622"/>
      <c r="J862" s="623">
        <f>SUM(J855:J861)</f>
        <v>907</v>
      </c>
      <c r="K862" s="624">
        <f>SUM(K855:K861)</f>
        <v>870</v>
      </c>
      <c r="L862" s="623">
        <f>SUM(L855:L861)</f>
        <v>883</v>
      </c>
      <c r="M862" s="623">
        <f>SUM(M855:M861)</f>
        <v>885</v>
      </c>
      <c r="N862" s="625">
        <f>SUM(N855:N861)</f>
        <v>854.20980999999995</v>
      </c>
      <c r="O862" s="648"/>
      <c r="P862" s="648"/>
      <c r="R862" s="626"/>
      <c r="T862" s="633"/>
      <c r="U862" s="632"/>
    </row>
    <row r="863" spans="2:21" ht="19.149999999999999" customHeight="1">
      <c r="B863" s="812"/>
      <c r="C863" s="684"/>
      <c r="D863" s="705"/>
      <c r="E863" s="695" t="s">
        <v>324</v>
      </c>
      <c r="F863" s="687" t="s">
        <v>477</v>
      </c>
      <c r="G863" s="706"/>
      <c r="H863" s="706"/>
      <c r="I863" s="707"/>
      <c r="J863" s="690"/>
      <c r="K863" s="693"/>
      <c r="L863" s="690"/>
      <c r="M863" s="690"/>
      <c r="N863" s="708"/>
      <c r="O863" s="648"/>
      <c r="P863" s="648"/>
      <c r="R863" s="626"/>
      <c r="T863" s="633"/>
      <c r="U863" s="632"/>
    </row>
    <row r="864" spans="2:21" ht="19.149999999999999" customHeight="1">
      <c r="B864" s="606" t="s">
        <v>477</v>
      </c>
      <c r="C864" s="654">
        <v>81</v>
      </c>
      <c r="D864" s="607">
        <v>100</v>
      </c>
      <c r="E864" s="608">
        <v>817210</v>
      </c>
      <c r="F864" s="609" t="s">
        <v>848</v>
      </c>
      <c r="G864" s="610">
        <v>4.33</v>
      </c>
      <c r="H864" s="610">
        <v>4.9000000000000004</v>
      </c>
      <c r="I864" s="611" t="s">
        <v>669</v>
      </c>
      <c r="J864" s="616">
        <v>945</v>
      </c>
      <c r="K864" s="613">
        <v>923</v>
      </c>
      <c r="L864" s="616">
        <v>924</v>
      </c>
      <c r="M864" s="616">
        <v>924</v>
      </c>
      <c r="N864" s="813">
        <v>882.36758999999995</v>
      </c>
      <c r="O864" s="648"/>
      <c r="P864" s="648"/>
      <c r="R864" s="626"/>
      <c r="T864" s="633"/>
      <c r="U864" s="634"/>
    </row>
    <row r="865" spans="2:21" ht="27.75" customHeight="1">
      <c r="B865" s="606" t="s">
        <v>477</v>
      </c>
      <c r="C865" s="654">
        <v>81</v>
      </c>
      <c r="D865" s="607">
        <v>101</v>
      </c>
      <c r="E865" s="608">
        <v>817210</v>
      </c>
      <c r="F865" s="609" t="s">
        <v>2204</v>
      </c>
      <c r="G865" s="610">
        <v>2</v>
      </c>
      <c r="H865" s="610">
        <v>4.3161000000000005</v>
      </c>
      <c r="I865" s="611" t="s">
        <v>669</v>
      </c>
      <c r="J865" s="616">
        <f>607-128</f>
        <v>479</v>
      </c>
      <c r="K865" s="613">
        <v>691</v>
      </c>
      <c r="L865" s="616">
        <v>691</v>
      </c>
      <c r="M865" s="616">
        <v>341</v>
      </c>
      <c r="N865" s="614">
        <v>740.26674000000003</v>
      </c>
      <c r="O865" s="648"/>
      <c r="P865" s="648"/>
      <c r="R865" s="626"/>
      <c r="T865" s="633"/>
      <c r="U865" s="634"/>
    </row>
    <row r="866" spans="2:21" ht="14">
      <c r="B866" s="606" t="s">
        <v>477</v>
      </c>
      <c r="C866" s="654">
        <v>81</v>
      </c>
      <c r="D866" s="607">
        <v>102</v>
      </c>
      <c r="E866" s="608">
        <v>817210</v>
      </c>
      <c r="F866" s="609" t="s">
        <v>1614</v>
      </c>
      <c r="G866" s="610">
        <v>3.9999999999999996</v>
      </c>
      <c r="H866" s="610">
        <v>5.2378833333333326</v>
      </c>
      <c r="I866" s="611" t="s">
        <v>669</v>
      </c>
      <c r="J866" s="616">
        <v>477</v>
      </c>
      <c r="K866" s="613">
        <v>477</v>
      </c>
      <c r="L866" s="616">
        <v>477</v>
      </c>
      <c r="M866" s="616">
        <v>477</v>
      </c>
      <c r="N866" s="614">
        <v>478.15388000000002</v>
      </c>
      <c r="O866" s="648"/>
      <c r="P866" s="648"/>
      <c r="R866" s="626"/>
      <c r="T866" s="633"/>
      <c r="U866" s="634"/>
    </row>
    <row r="867" spans="2:21" ht="28">
      <c r="B867" s="606" t="s">
        <v>477</v>
      </c>
      <c r="C867" s="654">
        <v>81</v>
      </c>
      <c r="D867" s="607">
        <v>103</v>
      </c>
      <c r="E867" s="608">
        <v>817210</v>
      </c>
      <c r="F867" s="609" t="s">
        <v>1616</v>
      </c>
      <c r="G867" s="610">
        <v>0</v>
      </c>
      <c r="H867" s="610">
        <v>0</v>
      </c>
      <c r="I867" s="611" t="s">
        <v>669</v>
      </c>
      <c r="J867" s="616">
        <v>50</v>
      </c>
      <c r="K867" s="613">
        <v>50</v>
      </c>
      <c r="L867" s="616">
        <v>50</v>
      </c>
      <c r="M867" s="616">
        <v>50</v>
      </c>
      <c r="N867" s="614">
        <v>28.158000000000001</v>
      </c>
      <c r="O867" s="648"/>
      <c r="P867" s="648"/>
      <c r="R867" s="626"/>
      <c r="T867" s="633"/>
      <c r="U867" s="634"/>
    </row>
    <row r="868" spans="2:21" ht="28">
      <c r="B868" s="606" t="s">
        <v>477</v>
      </c>
      <c r="C868" s="654">
        <v>81</v>
      </c>
      <c r="D868" s="607">
        <v>104</v>
      </c>
      <c r="E868" s="608">
        <v>817210</v>
      </c>
      <c r="F868" s="775" t="s">
        <v>1671</v>
      </c>
      <c r="G868" s="610">
        <v>0.6</v>
      </c>
      <c r="H868" s="610">
        <v>0.6</v>
      </c>
      <c r="I868" s="611" t="s">
        <v>669</v>
      </c>
      <c r="J868" s="616">
        <v>127</v>
      </c>
      <c r="K868" s="613">
        <v>127</v>
      </c>
      <c r="L868" s="616">
        <v>127</v>
      </c>
      <c r="M868" s="616">
        <v>127</v>
      </c>
      <c r="N868" s="614">
        <v>124.61201</v>
      </c>
      <c r="O868" s="648"/>
      <c r="P868" s="648"/>
      <c r="R868" s="626"/>
      <c r="T868" s="633"/>
      <c r="U868" s="634"/>
    </row>
    <row r="869" spans="2:21" ht="28">
      <c r="B869" s="606" t="s">
        <v>477</v>
      </c>
      <c r="C869" s="654">
        <v>81</v>
      </c>
      <c r="D869" s="607">
        <v>105</v>
      </c>
      <c r="E869" s="608">
        <v>817210</v>
      </c>
      <c r="F869" s="775" t="s">
        <v>2205</v>
      </c>
      <c r="G869" s="610">
        <v>3</v>
      </c>
      <c r="H869" s="610">
        <v>3.4740000000000002</v>
      </c>
      <c r="I869" s="611" t="s">
        <v>669</v>
      </c>
      <c r="J869" s="616">
        <v>814</v>
      </c>
      <c r="K869" s="613">
        <v>814</v>
      </c>
      <c r="L869" s="616">
        <v>814</v>
      </c>
      <c r="M869" s="616">
        <v>814</v>
      </c>
      <c r="N869" s="614">
        <v>779.73818999999992</v>
      </c>
      <c r="O869" s="648"/>
      <c r="P869" s="648"/>
      <c r="R869" s="626"/>
      <c r="T869" s="633"/>
      <c r="U869" s="634"/>
    </row>
    <row r="870" spans="2:21" ht="28">
      <c r="B870" s="606" t="s">
        <v>477</v>
      </c>
      <c r="C870" s="654">
        <v>81</v>
      </c>
      <c r="D870" s="607">
        <v>107</v>
      </c>
      <c r="E870" s="608">
        <v>817210</v>
      </c>
      <c r="F870" s="775" t="s">
        <v>1699</v>
      </c>
      <c r="G870" s="610">
        <v>0.7</v>
      </c>
      <c r="H870" s="610">
        <v>0</v>
      </c>
      <c r="I870" s="611" t="s">
        <v>669</v>
      </c>
      <c r="J870" s="616">
        <f>100-34</f>
        <v>66</v>
      </c>
      <c r="K870" s="613">
        <v>100</v>
      </c>
      <c r="L870" s="616">
        <v>100</v>
      </c>
      <c r="M870" s="616">
        <v>67</v>
      </c>
      <c r="N870" s="614">
        <v>101.65900000000001</v>
      </c>
      <c r="O870" s="648"/>
      <c r="P870" s="648"/>
      <c r="R870" s="626"/>
      <c r="T870" s="633"/>
      <c r="U870" s="634"/>
    </row>
    <row r="871" spans="2:21" ht="19.149999999999999" customHeight="1">
      <c r="B871" s="606" t="s">
        <v>477</v>
      </c>
      <c r="C871" s="654">
        <v>5</v>
      </c>
      <c r="D871" s="607">
        <v>420</v>
      </c>
      <c r="E871" s="608">
        <v>817210</v>
      </c>
      <c r="F871" s="609" t="s">
        <v>544</v>
      </c>
      <c r="G871" s="610"/>
      <c r="H871" s="610"/>
      <c r="I871" s="611" t="s">
        <v>44</v>
      </c>
      <c r="J871" s="616">
        <v>5</v>
      </c>
      <c r="K871" s="613">
        <v>5</v>
      </c>
      <c r="L871" s="616">
        <v>5</v>
      </c>
      <c r="M871" s="616">
        <v>5</v>
      </c>
      <c r="N871" s="614">
        <v>4.9366199999999996</v>
      </c>
      <c r="O871" s="648"/>
      <c r="P871" s="648"/>
      <c r="R871" s="626"/>
      <c r="T871" s="633"/>
      <c r="U871" s="634"/>
    </row>
    <row r="872" spans="2:21" ht="19.149999999999999" customHeight="1">
      <c r="B872" s="606" t="s">
        <v>477</v>
      </c>
      <c r="C872" s="654">
        <v>81</v>
      </c>
      <c r="D872" s="607">
        <v>430</v>
      </c>
      <c r="E872" s="608">
        <v>817210</v>
      </c>
      <c r="F872" s="609" t="s">
        <v>192</v>
      </c>
      <c r="G872" s="610"/>
      <c r="H872" s="610"/>
      <c r="I872" s="611" t="s">
        <v>175</v>
      </c>
      <c r="J872" s="616">
        <v>77</v>
      </c>
      <c r="K872" s="613">
        <v>77</v>
      </c>
      <c r="L872" s="616">
        <v>77</v>
      </c>
      <c r="M872" s="616">
        <v>77</v>
      </c>
      <c r="N872" s="614">
        <v>76.089780000000005</v>
      </c>
      <c r="O872" s="648"/>
      <c r="P872" s="648"/>
      <c r="R872" s="626"/>
      <c r="T872" s="633"/>
      <c r="U872" s="634"/>
    </row>
    <row r="873" spans="2:21" ht="19.149999999999999" customHeight="1">
      <c r="B873" s="606" t="s">
        <v>477</v>
      </c>
      <c r="C873" s="654">
        <v>81</v>
      </c>
      <c r="D873" s="607">
        <v>432</v>
      </c>
      <c r="E873" s="608">
        <v>817210</v>
      </c>
      <c r="F873" s="609" t="s">
        <v>103</v>
      </c>
      <c r="G873" s="610"/>
      <c r="H873" s="610"/>
      <c r="I873" s="611" t="s">
        <v>175</v>
      </c>
      <c r="J873" s="616">
        <v>22</v>
      </c>
      <c r="K873" s="613">
        <v>22</v>
      </c>
      <c r="L873" s="616">
        <v>22</v>
      </c>
      <c r="M873" s="616">
        <v>22</v>
      </c>
      <c r="N873" s="614">
        <v>18.9696</v>
      </c>
      <c r="O873" s="648"/>
      <c r="P873" s="648"/>
      <c r="R873" s="626"/>
      <c r="T873" s="633"/>
      <c r="U873" s="634"/>
    </row>
    <row r="874" spans="2:21" ht="19.149999999999999" customHeight="1">
      <c r="B874" s="606" t="s">
        <v>477</v>
      </c>
      <c r="C874" s="654">
        <v>10</v>
      </c>
      <c r="D874" s="607">
        <v>540</v>
      </c>
      <c r="E874" s="608">
        <v>817210</v>
      </c>
      <c r="F874" s="609" t="s">
        <v>1648</v>
      </c>
      <c r="G874" s="610"/>
      <c r="H874" s="610"/>
      <c r="I874" s="611" t="s">
        <v>175</v>
      </c>
      <c r="J874" s="616">
        <v>9</v>
      </c>
      <c r="K874" s="613">
        <v>8</v>
      </c>
      <c r="L874" s="616">
        <v>9</v>
      </c>
      <c r="M874" s="616">
        <v>9</v>
      </c>
      <c r="N874" s="614">
        <v>7.37514</v>
      </c>
      <c r="O874" s="648"/>
      <c r="P874" s="648"/>
      <c r="R874" s="626"/>
      <c r="T874" s="633"/>
      <c r="U874" s="634"/>
    </row>
    <row r="875" spans="2:21" ht="19.149999999999999" customHeight="1">
      <c r="B875" s="606" t="s">
        <v>477</v>
      </c>
      <c r="C875" s="654">
        <v>10</v>
      </c>
      <c r="D875" s="607">
        <v>570</v>
      </c>
      <c r="E875" s="608">
        <v>817210</v>
      </c>
      <c r="F875" s="609" t="s">
        <v>608</v>
      </c>
      <c r="G875" s="610"/>
      <c r="H875" s="610"/>
      <c r="I875" s="611" t="s">
        <v>175</v>
      </c>
      <c r="J875" s="616">
        <v>90</v>
      </c>
      <c r="K875" s="613">
        <v>90</v>
      </c>
      <c r="L875" s="616">
        <v>95</v>
      </c>
      <c r="M875" s="616">
        <v>95</v>
      </c>
      <c r="N875" s="614">
        <v>81.986949999999993</v>
      </c>
      <c r="O875" s="648"/>
      <c r="P875" s="648"/>
      <c r="R875" s="626"/>
      <c r="T875" s="633"/>
      <c r="U875" s="634"/>
    </row>
    <row r="876" spans="2:21" ht="19.149999999999999" customHeight="1">
      <c r="B876" s="606" t="s">
        <v>477</v>
      </c>
      <c r="C876" s="655">
        <v>81</v>
      </c>
      <c r="D876" s="615">
        <v>750</v>
      </c>
      <c r="E876" s="608">
        <v>817210</v>
      </c>
      <c r="F876" s="609" t="s">
        <v>361</v>
      </c>
      <c r="G876" s="610"/>
      <c r="H876" s="610"/>
      <c r="I876" s="611" t="s">
        <v>175</v>
      </c>
      <c r="J876" s="616">
        <v>182</v>
      </c>
      <c r="K876" s="613">
        <v>163</v>
      </c>
      <c r="L876" s="616">
        <v>163</v>
      </c>
      <c r="M876" s="616">
        <v>170</v>
      </c>
      <c r="N876" s="614">
        <v>157.47300000000001</v>
      </c>
      <c r="O876" s="648"/>
      <c r="P876" s="648"/>
      <c r="R876" s="626"/>
      <c r="T876" s="633"/>
      <c r="U876" s="634"/>
    </row>
    <row r="877" spans="2:21" ht="19.149999999999999" customHeight="1">
      <c r="B877" s="606" t="s">
        <v>477</v>
      </c>
      <c r="C877" s="654">
        <v>5</v>
      </c>
      <c r="D877" s="607">
        <v>751</v>
      </c>
      <c r="E877" s="608">
        <v>817210</v>
      </c>
      <c r="F877" s="609" t="s">
        <v>600</v>
      </c>
      <c r="G877" s="610"/>
      <c r="H877" s="610"/>
      <c r="I877" s="611" t="s">
        <v>175</v>
      </c>
      <c r="J877" s="616">
        <v>11</v>
      </c>
      <c r="K877" s="613">
        <v>11</v>
      </c>
      <c r="L877" s="616">
        <v>11</v>
      </c>
      <c r="M877" s="616">
        <v>11</v>
      </c>
      <c r="N877" s="614">
        <v>8.7890400000000017</v>
      </c>
      <c r="O877" s="648"/>
      <c r="P877" s="648"/>
      <c r="R877" s="626"/>
      <c r="T877" s="633"/>
      <c r="U877" s="634"/>
    </row>
    <row r="878" spans="2:21" ht="14">
      <c r="B878" s="606" t="s">
        <v>477</v>
      </c>
      <c r="C878" s="655">
        <v>81</v>
      </c>
      <c r="D878" s="615">
        <v>780</v>
      </c>
      <c r="E878" s="608">
        <v>817210</v>
      </c>
      <c r="F878" s="609" t="s">
        <v>880</v>
      </c>
      <c r="G878" s="610"/>
      <c r="H878" s="610"/>
      <c r="I878" s="611" t="s">
        <v>44</v>
      </c>
      <c r="J878" s="616">
        <v>210</v>
      </c>
      <c r="K878" s="613">
        <v>222</v>
      </c>
      <c r="L878" s="616">
        <v>222</v>
      </c>
      <c r="M878" s="616">
        <v>233</v>
      </c>
      <c r="N878" s="614">
        <v>221.16925000000001</v>
      </c>
      <c r="O878" s="648"/>
      <c r="P878" s="648"/>
      <c r="R878" s="626"/>
      <c r="T878" s="633"/>
      <c r="U878" s="634"/>
    </row>
    <row r="879" spans="2:21" ht="19.149999999999999" customHeight="1">
      <c r="B879" s="606" t="s">
        <v>477</v>
      </c>
      <c r="C879" s="654">
        <v>81</v>
      </c>
      <c r="D879" s="607">
        <v>781</v>
      </c>
      <c r="E879" s="608">
        <v>817210</v>
      </c>
      <c r="F879" s="609" t="s">
        <v>1615</v>
      </c>
      <c r="G879" s="610"/>
      <c r="H879" s="610"/>
      <c r="I879" s="611" t="s">
        <v>44</v>
      </c>
      <c r="J879" s="616">
        <v>50</v>
      </c>
      <c r="K879" s="613">
        <v>50</v>
      </c>
      <c r="L879" s="616">
        <v>50</v>
      </c>
      <c r="M879" s="616">
        <v>50</v>
      </c>
      <c r="N879" s="614">
        <v>4.6500000000000004</v>
      </c>
      <c r="O879" s="648"/>
      <c r="P879" s="648"/>
      <c r="R879" s="626"/>
      <c r="T879" s="633"/>
      <c r="U879" s="634"/>
    </row>
    <row r="880" spans="2:21" ht="28">
      <c r="B880" s="606" t="s">
        <v>477</v>
      </c>
      <c r="C880" s="654">
        <v>81</v>
      </c>
      <c r="D880" s="607">
        <v>782</v>
      </c>
      <c r="E880" s="608">
        <v>817210</v>
      </c>
      <c r="F880" s="775" t="s">
        <v>2206</v>
      </c>
      <c r="G880" s="610"/>
      <c r="H880" s="610"/>
      <c r="I880" s="611" t="s">
        <v>44</v>
      </c>
      <c r="J880" s="616">
        <v>200</v>
      </c>
      <c r="K880" s="613">
        <v>200</v>
      </c>
      <c r="L880" s="616">
        <v>200</v>
      </c>
      <c r="M880" s="616">
        <v>200</v>
      </c>
      <c r="N880" s="614">
        <v>199.96804999999998</v>
      </c>
      <c r="O880" s="648"/>
      <c r="P880" s="648"/>
      <c r="R880" s="626"/>
      <c r="T880" s="633"/>
      <c r="U880" s="634"/>
    </row>
    <row r="881" spans="2:21" ht="28">
      <c r="B881" s="606" t="s">
        <v>477</v>
      </c>
      <c r="C881" s="654">
        <v>81</v>
      </c>
      <c r="D881" s="607">
        <v>783</v>
      </c>
      <c r="E881" s="608">
        <v>817210</v>
      </c>
      <c r="F881" s="775" t="s">
        <v>2207</v>
      </c>
      <c r="G881" s="610"/>
      <c r="H881" s="610"/>
      <c r="I881" s="611" t="s">
        <v>44</v>
      </c>
      <c r="J881" s="616">
        <f>50-50</f>
        <v>0</v>
      </c>
      <c r="K881" s="613">
        <v>89</v>
      </c>
      <c r="L881" s="616">
        <v>50</v>
      </c>
      <c r="M881" s="616">
        <v>50</v>
      </c>
      <c r="N881" s="614">
        <v>97.44</v>
      </c>
      <c r="O881" s="648"/>
      <c r="P881" s="648"/>
      <c r="R881" s="626"/>
      <c r="T881" s="633"/>
      <c r="U881" s="634"/>
    </row>
    <row r="882" spans="2:21" ht="19.149999999999999" customHeight="1">
      <c r="B882" s="749"/>
      <c r="C882" s="712"/>
      <c r="D882" s="713"/>
      <c r="E882" s="714" t="s">
        <v>324</v>
      </c>
      <c r="F882" s="715" t="s">
        <v>794</v>
      </c>
      <c r="G882" s="716">
        <f>SUM(G864:G881)</f>
        <v>14.629999999999999</v>
      </c>
      <c r="H882" s="716">
        <f>SUM(H864:H881)</f>
        <v>18.527983333333331</v>
      </c>
      <c r="I882" s="717"/>
      <c r="J882" s="718">
        <f>SUM(J864:J881)</f>
        <v>3814</v>
      </c>
      <c r="K882" s="719">
        <f>SUM(K864:K881)</f>
        <v>4119</v>
      </c>
      <c r="L882" s="718">
        <f>SUM(L864:L881)</f>
        <v>4087</v>
      </c>
      <c r="M882" s="718">
        <f>SUM(M864:M881)</f>
        <v>3722</v>
      </c>
      <c r="N882" s="720">
        <f>SUM(N864:N881)</f>
        <v>4013.8028399999994</v>
      </c>
      <c r="O882" s="648"/>
      <c r="P882" s="648"/>
      <c r="R882" s="626"/>
      <c r="T882" s="633"/>
      <c r="U882" s="632"/>
    </row>
    <row r="883" spans="2:21" ht="19.149999999999999" customHeight="1">
      <c r="B883" s="704"/>
      <c r="C883" s="684"/>
      <c r="D883" s="705"/>
      <c r="E883" s="695" t="s">
        <v>548</v>
      </c>
      <c r="F883" s="687" t="s">
        <v>549</v>
      </c>
      <c r="G883" s="706"/>
      <c r="H883" s="706"/>
      <c r="I883" s="707"/>
      <c r="J883" s="690"/>
      <c r="K883" s="693"/>
      <c r="L883" s="690"/>
      <c r="M883" s="690"/>
      <c r="N883" s="708"/>
      <c r="O883" s="648"/>
      <c r="P883" s="648"/>
      <c r="R883" s="626"/>
      <c r="T883" s="633"/>
      <c r="U883" s="632"/>
    </row>
    <row r="884" spans="2:21" ht="18.649999999999999" customHeight="1">
      <c r="B884" s="606" t="s">
        <v>549</v>
      </c>
      <c r="C884" s="654">
        <v>81</v>
      </c>
      <c r="D884" s="607">
        <v>100</v>
      </c>
      <c r="E884" s="608">
        <v>817300</v>
      </c>
      <c r="F884" s="703" t="s">
        <v>250</v>
      </c>
      <c r="G884" s="610">
        <v>26.32</v>
      </c>
      <c r="H884" s="610">
        <v>23.157766666666667</v>
      </c>
      <c r="I884" s="611" t="s">
        <v>669</v>
      </c>
      <c r="J884" s="616">
        <v>5091</v>
      </c>
      <c r="K884" s="613">
        <v>4676</v>
      </c>
      <c r="L884" s="616">
        <v>5004</v>
      </c>
      <c r="M884" s="616">
        <v>5059</v>
      </c>
      <c r="N884" s="614">
        <f>4764.79957-1.33677</f>
        <v>4763.4628000000002</v>
      </c>
      <c r="O884" s="648"/>
      <c r="P884" s="648"/>
      <c r="R884" s="626"/>
      <c r="T884" s="633"/>
      <c r="U884" s="634"/>
    </row>
    <row r="885" spans="2:21" ht="18.649999999999999" customHeight="1">
      <c r="B885" s="606" t="s">
        <v>549</v>
      </c>
      <c r="C885" s="654">
        <v>81</v>
      </c>
      <c r="D885" s="607">
        <v>102</v>
      </c>
      <c r="E885" s="608">
        <v>817300</v>
      </c>
      <c r="F885" s="703" t="s">
        <v>251</v>
      </c>
      <c r="G885" s="610">
        <v>2.61</v>
      </c>
      <c r="H885" s="610">
        <v>2.6120000000000001</v>
      </c>
      <c r="I885" s="611" t="s">
        <v>669</v>
      </c>
      <c r="J885" s="616">
        <v>366</v>
      </c>
      <c r="K885" s="613">
        <v>350</v>
      </c>
      <c r="L885" s="616">
        <v>357</v>
      </c>
      <c r="M885" s="616">
        <v>357</v>
      </c>
      <c r="N885" s="614">
        <v>337.30444</v>
      </c>
      <c r="O885" s="648"/>
      <c r="P885" s="648"/>
      <c r="R885" s="626"/>
      <c r="T885" s="633"/>
      <c r="U885" s="634"/>
    </row>
    <row r="886" spans="2:21" ht="42">
      <c r="B886" s="606" t="s">
        <v>549</v>
      </c>
      <c r="C886" s="654">
        <v>81</v>
      </c>
      <c r="D886" s="607">
        <v>104</v>
      </c>
      <c r="E886" s="608">
        <v>817300</v>
      </c>
      <c r="F886" s="775" t="s">
        <v>2005</v>
      </c>
      <c r="G886" s="610">
        <v>0.83</v>
      </c>
      <c r="H886" s="610">
        <v>0</v>
      </c>
      <c r="I886" s="611" t="s">
        <v>669</v>
      </c>
      <c r="J886" s="616">
        <v>100</v>
      </c>
      <c r="K886" s="613">
        <v>100</v>
      </c>
      <c r="L886" s="616">
        <v>100</v>
      </c>
      <c r="M886" s="616">
        <v>100</v>
      </c>
      <c r="N886" s="614">
        <v>130.4195</v>
      </c>
      <c r="O886" s="648"/>
      <c r="P886" s="648"/>
      <c r="R886" s="626"/>
      <c r="T886" s="633"/>
      <c r="U886" s="634"/>
    </row>
    <row r="887" spans="2:21" ht="28">
      <c r="B887" s="606" t="s">
        <v>549</v>
      </c>
      <c r="C887" s="654">
        <v>81</v>
      </c>
      <c r="D887" s="607">
        <v>107</v>
      </c>
      <c r="E887" s="608">
        <v>817300</v>
      </c>
      <c r="F887" s="775" t="s">
        <v>1699</v>
      </c>
      <c r="G887" s="610">
        <v>0.35</v>
      </c>
      <c r="H887" s="610">
        <v>0</v>
      </c>
      <c r="I887" s="611" t="s">
        <v>669</v>
      </c>
      <c r="J887" s="616">
        <f>107-36</f>
        <v>71</v>
      </c>
      <c r="K887" s="613">
        <v>109</v>
      </c>
      <c r="L887" s="616">
        <v>109</v>
      </c>
      <c r="M887" s="616">
        <v>71</v>
      </c>
      <c r="N887" s="614">
        <v>75.900630000000007</v>
      </c>
      <c r="O887" s="648"/>
      <c r="P887" s="648"/>
      <c r="R887" s="626"/>
      <c r="T887" s="633"/>
      <c r="U887" s="634"/>
    </row>
    <row r="888" spans="2:21" ht="19.149999999999999" customHeight="1">
      <c r="B888" s="606" t="s">
        <v>549</v>
      </c>
      <c r="C888" s="654">
        <v>81</v>
      </c>
      <c r="D888" s="607">
        <v>220</v>
      </c>
      <c r="E888" s="608">
        <v>817300</v>
      </c>
      <c r="F888" s="775" t="s">
        <v>1204</v>
      </c>
      <c r="G888" s="610">
        <v>0</v>
      </c>
      <c r="H888" s="610">
        <v>0</v>
      </c>
      <c r="I888" s="611" t="s">
        <v>669</v>
      </c>
      <c r="J888" s="616">
        <v>120</v>
      </c>
      <c r="K888" s="613">
        <v>60</v>
      </c>
      <c r="L888" s="616">
        <v>120</v>
      </c>
      <c r="M888" s="616">
        <v>120</v>
      </c>
      <c r="N888" s="614">
        <v>109.67703999999999</v>
      </c>
      <c r="O888" s="648"/>
      <c r="P888" s="648"/>
      <c r="R888" s="626"/>
      <c r="T888" s="633"/>
      <c r="U888" s="634"/>
    </row>
    <row r="889" spans="2:21" ht="19.149999999999999" customHeight="1">
      <c r="B889" s="606" t="s">
        <v>549</v>
      </c>
      <c r="C889" s="654">
        <v>81</v>
      </c>
      <c r="D889" s="607">
        <v>221</v>
      </c>
      <c r="E889" s="608">
        <v>817300</v>
      </c>
      <c r="F889" s="775" t="s">
        <v>1617</v>
      </c>
      <c r="G889" s="610">
        <v>0</v>
      </c>
      <c r="H889" s="610">
        <v>0</v>
      </c>
      <c r="I889" s="611" t="s">
        <v>669</v>
      </c>
      <c r="J889" s="616">
        <v>125</v>
      </c>
      <c r="K889" s="613">
        <v>125</v>
      </c>
      <c r="L889" s="616">
        <v>125</v>
      </c>
      <c r="M889" s="616">
        <v>125</v>
      </c>
      <c r="N889" s="614">
        <v>127.32633</v>
      </c>
      <c r="O889" s="648"/>
      <c r="P889" s="648"/>
      <c r="R889" s="626"/>
      <c r="T889" s="633"/>
      <c r="U889" s="634"/>
    </row>
    <row r="890" spans="2:21" ht="19.149999999999999" customHeight="1">
      <c r="B890" s="606" t="s">
        <v>549</v>
      </c>
      <c r="C890" s="654">
        <v>81</v>
      </c>
      <c r="D890" s="607">
        <v>430</v>
      </c>
      <c r="E890" s="608">
        <v>817300</v>
      </c>
      <c r="F890" s="609" t="s">
        <v>192</v>
      </c>
      <c r="G890" s="610"/>
      <c r="H890" s="610"/>
      <c r="I890" s="611" t="s">
        <v>175</v>
      </c>
      <c r="J890" s="616">
        <v>34</v>
      </c>
      <c r="K890" s="613">
        <v>34</v>
      </c>
      <c r="L890" s="616">
        <v>34</v>
      </c>
      <c r="M890" s="616">
        <v>34</v>
      </c>
      <c r="N890" s="614">
        <v>43.573099999999997</v>
      </c>
      <c r="O890" s="648"/>
      <c r="P890" s="648"/>
      <c r="R890" s="626"/>
      <c r="T890" s="633"/>
      <c r="U890" s="634"/>
    </row>
    <row r="891" spans="2:21" ht="19.149999999999999" customHeight="1">
      <c r="B891" s="606" t="s">
        <v>549</v>
      </c>
      <c r="C891" s="654">
        <v>81</v>
      </c>
      <c r="D891" s="607">
        <v>432</v>
      </c>
      <c r="E891" s="608">
        <v>817300</v>
      </c>
      <c r="F891" s="609" t="s">
        <v>103</v>
      </c>
      <c r="G891" s="610"/>
      <c r="H891" s="610"/>
      <c r="I891" s="611" t="s">
        <v>175</v>
      </c>
      <c r="J891" s="616">
        <v>11</v>
      </c>
      <c r="K891" s="613">
        <v>11</v>
      </c>
      <c r="L891" s="616">
        <v>11</v>
      </c>
      <c r="M891" s="616">
        <v>11</v>
      </c>
      <c r="N891" s="614">
        <v>0</v>
      </c>
      <c r="O891" s="648"/>
      <c r="P891" s="648"/>
      <c r="R891" s="626"/>
      <c r="T891" s="633"/>
      <c r="U891" s="634"/>
    </row>
    <row r="892" spans="2:21" ht="19.149999999999999" customHeight="1">
      <c r="B892" s="606" t="s">
        <v>549</v>
      </c>
      <c r="C892" s="655">
        <v>81</v>
      </c>
      <c r="D892" s="615">
        <v>521</v>
      </c>
      <c r="E892" s="608">
        <v>817300</v>
      </c>
      <c r="F892" s="609" t="s">
        <v>1857</v>
      </c>
      <c r="G892" s="610"/>
      <c r="H892" s="610"/>
      <c r="I892" s="611" t="s">
        <v>44</v>
      </c>
      <c r="J892" s="616">
        <v>190</v>
      </c>
      <c r="K892" s="613">
        <v>190</v>
      </c>
      <c r="L892" s="616">
        <v>190</v>
      </c>
      <c r="M892" s="616">
        <v>200</v>
      </c>
      <c r="N892" s="614">
        <v>132.23755</v>
      </c>
      <c r="O892" s="648"/>
      <c r="P892" s="648"/>
      <c r="R892" s="626"/>
      <c r="T892" s="633"/>
      <c r="U892" s="634"/>
    </row>
    <row r="893" spans="2:21" ht="19.149999999999999" customHeight="1">
      <c r="B893" s="606" t="s">
        <v>549</v>
      </c>
      <c r="C893" s="654">
        <v>5</v>
      </c>
      <c r="D893" s="607">
        <v>530</v>
      </c>
      <c r="E893" s="608">
        <v>817300</v>
      </c>
      <c r="F893" s="609" t="s">
        <v>1549</v>
      </c>
      <c r="G893" s="610"/>
      <c r="H893" s="610"/>
      <c r="I893" s="611" t="s">
        <v>175</v>
      </c>
      <c r="J893" s="616">
        <v>55</v>
      </c>
      <c r="K893" s="613">
        <v>30</v>
      </c>
      <c r="L893" s="616">
        <v>55</v>
      </c>
      <c r="M893" s="616">
        <v>0</v>
      </c>
      <c r="N893" s="614">
        <v>0</v>
      </c>
      <c r="O893" s="648"/>
      <c r="P893" s="648"/>
      <c r="R893" s="626"/>
      <c r="T893" s="633"/>
      <c r="U893" s="634"/>
    </row>
    <row r="894" spans="2:21" ht="19.149999999999999" customHeight="1">
      <c r="B894" s="606" t="s">
        <v>549</v>
      </c>
      <c r="C894" s="654">
        <v>10</v>
      </c>
      <c r="D894" s="607">
        <v>540</v>
      </c>
      <c r="E894" s="608">
        <v>817300</v>
      </c>
      <c r="F894" s="609" t="s">
        <v>1648</v>
      </c>
      <c r="G894" s="610"/>
      <c r="H894" s="610"/>
      <c r="I894" s="611" t="s">
        <v>175</v>
      </c>
      <c r="J894" s="616">
        <v>11</v>
      </c>
      <c r="K894" s="613">
        <v>13</v>
      </c>
      <c r="L894" s="616">
        <v>10</v>
      </c>
      <c r="M894" s="616">
        <v>10</v>
      </c>
      <c r="N894" s="614">
        <v>7.6890600000000004</v>
      </c>
      <c r="O894" s="648"/>
      <c r="P894" s="648"/>
      <c r="R894" s="626"/>
      <c r="T894" s="633"/>
      <c r="U894" s="634"/>
    </row>
    <row r="895" spans="2:21" ht="21.5">
      <c r="B895" s="606" t="s">
        <v>549</v>
      </c>
      <c r="C895" s="655">
        <v>81</v>
      </c>
      <c r="D895" s="615">
        <v>720</v>
      </c>
      <c r="E895" s="608">
        <v>817300</v>
      </c>
      <c r="F895" s="609" t="s">
        <v>535</v>
      </c>
      <c r="G895" s="610"/>
      <c r="H895" s="610"/>
      <c r="I895" s="611" t="s">
        <v>44</v>
      </c>
      <c r="J895" s="616">
        <v>46</v>
      </c>
      <c r="K895" s="613">
        <v>49</v>
      </c>
      <c r="L895" s="616">
        <v>49</v>
      </c>
      <c r="M895" s="616">
        <v>51</v>
      </c>
      <c r="N895" s="614">
        <v>57.761559999999996</v>
      </c>
      <c r="O895" s="648"/>
      <c r="P895" s="648"/>
      <c r="R895" s="626"/>
      <c r="T895" s="633"/>
      <c r="U895" s="634"/>
    </row>
    <row r="896" spans="2:21" ht="19.149999999999999" customHeight="1">
      <c r="B896" s="606" t="s">
        <v>549</v>
      </c>
      <c r="C896" s="654">
        <v>5</v>
      </c>
      <c r="D896" s="607">
        <v>742</v>
      </c>
      <c r="E896" s="608">
        <v>817300</v>
      </c>
      <c r="F896" s="710" t="s">
        <v>609</v>
      </c>
      <c r="G896" s="610"/>
      <c r="H896" s="610"/>
      <c r="I896" s="611" t="s">
        <v>175</v>
      </c>
      <c r="J896" s="616">
        <v>3</v>
      </c>
      <c r="K896" s="613">
        <v>3</v>
      </c>
      <c r="L896" s="616">
        <v>3</v>
      </c>
      <c r="M896" s="616">
        <v>3</v>
      </c>
      <c r="N896" s="614">
        <v>2.7071000000000001</v>
      </c>
      <c r="O896" s="648"/>
      <c r="P896" s="648"/>
      <c r="R896" s="626"/>
      <c r="T896" s="633"/>
      <c r="U896" s="634"/>
    </row>
    <row r="897" spans="2:21" ht="19.149999999999999" customHeight="1">
      <c r="B897" s="606" t="s">
        <v>549</v>
      </c>
      <c r="C897" s="654">
        <v>5</v>
      </c>
      <c r="D897" s="607">
        <v>750</v>
      </c>
      <c r="E897" s="608">
        <v>817300</v>
      </c>
      <c r="F897" s="710" t="s">
        <v>361</v>
      </c>
      <c r="G897" s="610"/>
      <c r="H897" s="610"/>
      <c r="I897" s="611" t="s">
        <v>175</v>
      </c>
      <c r="J897" s="616">
        <v>102</v>
      </c>
      <c r="K897" s="613">
        <v>102</v>
      </c>
      <c r="L897" s="616">
        <v>102</v>
      </c>
      <c r="M897" s="616">
        <v>102</v>
      </c>
      <c r="N897" s="614">
        <v>100.21253999999999</v>
      </c>
      <c r="O897" s="648"/>
      <c r="P897" s="648"/>
      <c r="R897" s="626"/>
      <c r="T897" s="633"/>
      <c r="U897" s="634"/>
    </row>
    <row r="898" spans="2:21" ht="28">
      <c r="B898" s="606" t="s">
        <v>549</v>
      </c>
      <c r="C898" s="654">
        <v>81</v>
      </c>
      <c r="D898" s="607">
        <v>780</v>
      </c>
      <c r="E898" s="608">
        <v>817300</v>
      </c>
      <c r="F898" s="609" t="s">
        <v>2004</v>
      </c>
      <c r="G898" s="610"/>
      <c r="H898" s="610"/>
      <c r="I898" s="611" t="s">
        <v>44</v>
      </c>
      <c r="J898" s="616">
        <v>36</v>
      </c>
      <c r="K898" s="613">
        <v>36</v>
      </c>
      <c r="L898" s="616">
        <v>36</v>
      </c>
      <c r="M898" s="616">
        <v>36</v>
      </c>
      <c r="N898" s="614">
        <v>8.0000000000000007E-5</v>
      </c>
      <c r="O898" s="648"/>
      <c r="P898" s="648"/>
      <c r="R898" s="626"/>
      <c r="T898" s="633"/>
      <c r="U898" s="634"/>
    </row>
    <row r="899" spans="2:21" ht="19.149999999999999" customHeight="1">
      <c r="B899" s="747"/>
      <c r="C899" s="656"/>
      <c r="D899" s="618"/>
      <c r="E899" s="619" t="s">
        <v>548</v>
      </c>
      <c r="F899" s="620" t="s">
        <v>551</v>
      </c>
      <c r="G899" s="621">
        <f>SUM(G884:G898)</f>
        <v>30.11</v>
      </c>
      <c r="H899" s="621">
        <f>SUM(H884:H898)</f>
        <v>25.769766666666669</v>
      </c>
      <c r="I899" s="622"/>
      <c r="J899" s="623">
        <f>SUM(J884:J898)</f>
        <v>6361</v>
      </c>
      <c r="K899" s="624">
        <f>SUM(K884:K898)</f>
        <v>5888</v>
      </c>
      <c r="L899" s="623">
        <f>SUM(L884:L898)</f>
        <v>6305</v>
      </c>
      <c r="M899" s="623">
        <f>SUM(M884:M898)</f>
        <v>6279</v>
      </c>
      <c r="N899" s="625">
        <f>SUM(N884:N898)</f>
        <v>5888.2717299999986</v>
      </c>
      <c r="O899" s="648"/>
      <c r="P899" s="648"/>
      <c r="R899" s="626"/>
      <c r="T899" s="633"/>
      <c r="U899" s="632"/>
    </row>
    <row r="900" spans="2:21" ht="14">
      <c r="B900" s="704"/>
      <c r="C900" s="684"/>
      <c r="D900" s="705"/>
      <c r="E900" s="695" t="s">
        <v>552</v>
      </c>
      <c r="F900" s="751" t="s">
        <v>553</v>
      </c>
      <c r="G900" s="706"/>
      <c r="H900" s="706"/>
      <c r="I900" s="707"/>
      <c r="J900" s="690"/>
      <c r="K900" s="693"/>
      <c r="L900" s="690"/>
      <c r="M900" s="690"/>
      <c r="N900" s="708"/>
      <c r="O900" s="648"/>
      <c r="P900" s="648"/>
      <c r="R900" s="626"/>
      <c r="T900" s="633"/>
      <c r="U900" s="632"/>
    </row>
    <row r="901" spans="2:21" ht="28">
      <c r="B901" s="606" t="s">
        <v>553</v>
      </c>
      <c r="C901" s="654">
        <v>81</v>
      </c>
      <c r="D901" s="607">
        <v>850</v>
      </c>
      <c r="E901" s="608">
        <v>817410</v>
      </c>
      <c r="F901" s="701" t="s">
        <v>1966</v>
      </c>
      <c r="G901" s="610"/>
      <c r="H901" s="610"/>
      <c r="I901" s="611" t="s">
        <v>44</v>
      </c>
      <c r="J901" s="616">
        <v>33</v>
      </c>
      <c r="K901" s="613">
        <v>35</v>
      </c>
      <c r="L901" s="616">
        <v>35</v>
      </c>
      <c r="M901" s="616">
        <v>35</v>
      </c>
      <c r="N901" s="614">
        <v>21.39</v>
      </c>
      <c r="O901" s="648"/>
      <c r="P901" s="648"/>
      <c r="R901" s="626"/>
      <c r="T901" s="633"/>
      <c r="U901" s="634"/>
    </row>
    <row r="902" spans="2:21" ht="19.149999999999999" customHeight="1">
      <c r="B902" s="617"/>
      <c r="C902" s="656"/>
      <c r="D902" s="814"/>
      <c r="E902" s="619" t="s">
        <v>552</v>
      </c>
      <c r="F902" s="620" t="s">
        <v>554</v>
      </c>
      <c r="G902" s="621">
        <f>SUM(G901:G901)</f>
        <v>0</v>
      </c>
      <c r="H902" s="621">
        <f>SUM(H901:H901)</f>
        <v>0</v>
      </c>
      <c r="I902" s="622"/>
      <c r="J902" s="623">
        <f>SUM(J901:J901)</f>
        <v>33</v>
      </c>
      <c r="K902" s="624">
        <f>SUM(K901:K901)</f>
        <v>35</v>
      </c>
      <c r="L902" s="623">
        <f>SUM(L901:L901)</f>
        <v>35</v>
      </c>
      <c r="M902" s="623">
        <f>SUM(M901:M901)</f>
        <v>35</v>
      </c>
      <c r="N902" s="625">
        <f>SUM(N901:N901)</f>
        <v>21.39</v>
      </c>
      <c r="O902" s="648"/>
      <c r="P902" s="648"/>
      <c r="R902" s="626"/>
      <c r="T902" s="633"/>
      <c r="U902" s="632"/>
    </row>
    <row r="903" spans="2:21" ht="19.149999999999999" customHeight="1">
      <c r="B903" s="704"/>
      <c r="C903" s="684"/>
      <c r="D903" s="705"/>
      <c r="E903" s="695" t="s">
        <v>555</v>
      </c>
      <c r="F903" s="687" t="s">
        <v>556</v>
      </c>
      <c r="G903" s="706"/>
      <c r="H903" s="706"/>
      <c r="I903" s="707"/>
      <c r="J903" s="690"/>
      <c r="K903" s="693"/>
      <c r="L903" s="690"/>
      <c r="M903" s="690"/>
      <c r="N903" s="708"/>
      <c r="O903" s="648"/>
      <c r="P903" s="648"/>
      <c r="R903" s="626"/>
      <c r="T903" s="633"/>
      <c r="U903" s="632"/>
    </row>
    <row r="904" spans="2:21" ht="19.149999999999999" customHeight="1">
      <c r="B904" s="606" t="s">
        <v>556</v>
      </c>
      <c r="C904" s="654">
        <v>81</v>
      </c>
      <c r="D904" s="607">
        <v>440</v>
      </c>
      <c r="E904" s="608">
        <v>817500</v>
      </c>
      <c r="F904" s="815" t="s">
        <v>2030</v>
      </c>
      <c r="G904" s="610"/>
      <c r="H904" s="610"/>
      <c r="I904" s="611" t="s">
        <v>175</v>
      </c>
      <c r="J904" s="616">
        <v>912</v>
      </c>
      <c r="K904" s="613">
        <v>892</v>
      </c>
      <c r="L904" s="616">
        <v>892</v>
      </c>
      <c r="M904" s="616">
        <v>892</v>
      </c>
      <c r="N904" s="614">
        <v>863.42899999999997</v>
      </c>
      <c r="O904" s="648"/>
      <c r="P904" s="648"/>
      <c r="R904" s="626"/>
      <c r="T904" s="633"/>
      <c r="U904" s="634"/>
    </row>
    <row r="905" spans="2:21" ht="19.149999999999999" customHeight="1">
      <c r="B905" s="747"/>
      <c r="C905" s="656"/>
      <c r="D905" s="618"/>
      <c r="E905" s="619" t="s">
        <v>555</v>
      </c>
      <c r="F905" s="620" t="s">
        <v>587</v>
      </c>
      <c r="G905" s="621">
        <f>SUM(G904)</f>
        <v>0</v>
      </c>
      <c r="H905" s="621">
        <f>SUM(H904)</f>
        <v>0</v>
      </c>
      <c r="I905" s="622"/>
      <c r="J905" s="623">
        <f>SUM(J904)</f>
        <v>912</v>
      </c>
      <c r="K905" s="624">
        <f>SUM(K904)</f>
        <v>892</v>
      </c>
      <c r="L905" s="623">
        <f>SUM(L904)</f>
        <v>892</v>
      </c>
      <c r="M905" s="623">
        <f>SUM(M904)</f>
        <v>892</v>
      </c>
      <c r="N905" s="625">
        <f>SUM(N904)</f>
        <v>863.42899999999997</v>
      </c>
      <c r="O905" s="648"/>
      <c r="P905" s="648"/>
      <c r="R905" s="626"/>
      <c r="T905" s="633"/>
      <c r="U905" s="632"/>
    </row>
    <row r="906" spans="2:21" ht="19.149999999999999" customHeight="1">
      <c r="B906" s="704"/>
      <c r="C906" s="684"/>
      <c r="D906" s="705"/>
      <c r="E906" s="695" t="s">
        <v>400</v>
      </c>
      <c r="F906" s="687" t="s">
        <v>401</v>
      </c>
      <c r="G906" s="706"/>
      <c r="H906" s="706"/>
      <c r="I906" s="707"/>
      <c r="J906" s="690"/>
      <c r="K906" s="693"/>
      <c r="L906" s="690"/>
      <c r="M906" s="690"/>
      <c r="N906" s="708"/>
      <c r="O906" s="648"/>
      <c r="P906" s="648"/>
      <c r="R906" s="626"/>
      <c r="T906" s="633"/>
      <c r="U906" s="632"/>
    </row>
    <row r="907" spans="2:21" ht="19.149999999999999" customHeight="1">
      <c r="B907" s="606" t="s">
        <v>401</v>
      </c>
      <c r="C907" s="654">
        <v>81</v>
      </c>
      <c r="D907" s="607">
        <v>100</v>
      </c>
      <c r="E907" s="608">
        <v>817700</v>
      </c>
      <c r="F907" s="609" t="s">
        <v>848</v>
      </c>
      <c r="G907" s="610">
        <v>4</v>
      </c>
      <c r="H907" s="610">
        <v>4</v>
      </c>
      <c r="I907" s="611" t="s">
        <v>669</v>
      </c>
      <c r="J907" s="616">
        <v>865</v>
      </c>
      <c r="K907" s="613">
        <v>845</v>
      </c>
      <c r="L907" s="616">
        <v>845</v>
      </c>
      <c r="M907" s="616">
        <v>845</v>
      </c>
      <c r="N907" s="614">
        <v>788.88715999999999</v>
      </c>
      <c r="O907" s="648"/>
      <c r="P907" s="648"/>
      <c r="R907" s="626"/>
      <c r="T907" s="633"/>
      <c r="U907" s="634"/>
    </row>
    <row r="908" spans="2:21" ht="19.149999999999999" customHeight="1">
      <c r="B908" s="747"/>
      <c r="C908" s="656"/>
      <c r="D908" s="618"/>
      <c r="E908" s="619" t="s">
        <v>400</v>
      </c>
      <c r="F908" s="620" t="s">
        <v>1108</v>
      </c>
      <c r="G908" s="621">
        <f>SUM(G907)</f>
        <v>4</v>
      </c>
      <c r="H908" s="621">
        <f>SUM(H907)</f>
        <v>4</v>
      </c>
      <c r="I908" s="622"/>
      <c r="J908" s="623">
        <f>SUM(J907)</f>
        <v>865</v>
      </c>
      <c r="K908" s="624">
        <f>SUM(K907)</f>
        <v>845</v>
      </c>
      <c r="L908" s="623">
        <f>SUM(L907)</f>
        <v>845</v>
      </c>
      <c r="M908" s="623">
        <f>SUM(M907)</f>
        <v>845</v>
      </c>
      <c r="N908" s="625">
        <f>SUM(N907)</f>
        <v>788.88715999999999</v>
      </c>
      <c r="O908" s="648"/>
      <c r="P908" s="648"/>
      <c r="R908" s="626"/>
      <c r="T908" s="633"/>
      <c r="U908" s="632"/>
    </row>
    <row r="909" spans="2:21" ht="19.149999999999999" customHeight="1">
      <c r="B909" s="704"/>
      <c r="C909" s="684"/>
      <c r="D909" s="705"/>
      <c r="E909" s="695" t="s">
        <v>1109</v>
      </c>
      <c r="F909" s="687" t="s">
        <v>1110</v>
      </c>
      <c r="G909" s="706"/>
      <c r="H909" s="706"/>
      <c r="I909" s="707"/>
      <c r="J909" s="690"/>
      <c r="K909" s="693"/>
      <c r="L909" s="690"/>
      <c r="M909" s="690"/>
      <c r="N909" s="708"/>
      <c r="O909" s="648"/>
      <c r="P909" s="648"/>
      <c r="R909" s="626"/>
      <c r="T909" s="633"/>
      <c r="U909" s="632"/>
    </row>
    <row r="910" spans="2:21" ht="19.149999999999999" customHeight="1">
      <c r="B910" s="606" t="s">
        <v>1110</v>
      </c>
      <c r="C910" s="654">
        <v>81</v>
      </c>
      <c r="D910" s="607">
        <v>100</v>
      </c>
      <c r="E910" s="608">
        <v>817800</v>
      </c>
      <c r="F910" s="609" t="s">
        <v>1635</v>
      </c>
      <c r="G910" s="610">
        <v>5.05</v>
      </c>
      <c r="H910" s="610">
        <v>3.0436333333333341</v>
      </c>
      <c r="I910" s="611" t="s">
        <v>669</v>
      </c>
      <c r="J910" s="616">
        <v>412</v>
      </c>
      <c r="K910" s="613">
        <v>356</v>
      </c>
      <c r="L910" s="616">
        <v>437</v>
      </c>
      <c r="M910" s="616">
        <v>437</v>
      </c>
      <c r="N910" s="614">
        <v>293.31871999999998</v>
      </c>
      <c r="O910" s="648"/>
      <c r="P910" s="648"/>
      <c r="R910" s="626"/>
      <c r="T910" s="633"/>
      <c r="U910" s="634"/>
    </row>
    <row r="911" spans="2:21" ht="14">
      <c r="B911" s="606" t="s">
        <v>1110</v>
      </c>
      <c r="C911" s="655">
        <v>81</v>
      </c>
      <c r="D911" s="615">
        <v>750</v>
      </c>
      <c r="E911" s="608">
        <v>817800</v>
      </c>
      <c r="F911" s="609" t="s">
        <v>1169</v>
      </c>
      <c r="G911" s="610"/>
      <c r="H911" s="610"/>
      <c r="I911" s="611" t="s">
        <v>175</v>
      </c>
      <c r="J911" s="616">
        <f>9421+731</f>
        <v>10152</v>
      </c>
      <c r="K911" s="613">
        <v>7345</v>
      </c>
      <c r="L911" s="616">
        <v>9504</v>
      </c>
      <c r="M911" s="616">
        <v>10462</v>
      </c>
      <c r="N911" s="614">
        <v>7927.6026099999999</v>
      </c>
      <c r="O911" s="648"/>
      <c r="P911" s="648"/>
      <c r="R911" s="626"/>
      <c r="T911" s="633"/>
      <c r="U911" s="634"/>
    </row>
    <row r="912" spans="2:21" ht="19.149999999999999" customHeight="1">
      <c r="B912" s="606" t="s">
        <v>1110</v>
      </c>
      <c r="C912" s="655">
        <v>81</v>
      </c>
      <c r="D912" s="615">
        <v>751</v>
      </c>
      <c r="E912" s="608">
        <v>817800</v>
      </c>
      <c r="F912" s="703" t="s">
        <v>1538</v>
      </c>
      <c r="G912" s="610"/>
      <c r="H912" s="610"/>
      <c r="I912" s="611" t="s">
        <v>44</v>
      </c>
      <c r="J912" s="616">
        <f>3510-719</f>
        <v>2791</v>
      </c>
      <c r="K912" s="613">
        <v>2474</v>
      </c>
      <c r="L912" s="616">
        <v>2610</v>
      </c>
      <c r="M912" s="616">
        <v>2882</v>
      </c>
      <c r="N912" s="614">
        <v>2788.5893799999999</v>
      </c>
      <c r="O912" s="648"/>
      <c r="P912" s="648"/>
      <c r="R912" s="626"/>
      <c r="T912" s="633"/>
      <c r="U912" s="634"/>
    </row>
    <row r="913" spans="2:21" ht="19.149999999999999" customHeight="1">
      <c r="B913" s="606" t="s">
        <v>1110</v>
      </c>
      <c r="C913" s="655">
        <v>81</v>
      </c>
      <c r="D913" s="615">
        <v>752</v>
      </c>
      <c r="E913" s="608">
        <v>817800</v>
      </c>
      <c r="F913" s="609" t="s">
        <v>1111</v>
      </c>
      <c r="G913" s="610"/>
      <c r="H913" s="610"/>
      <c r="I913" s="611" t="s">
        <v>175</v>
      </c>
      <c r="J913" s="616">
        <f>5255+7</f>
        <v>5262</v>
      </c>
      <c r="K913" s="613">
        <v>4156</v>
      </c>
      <c r="L913" s="616">
        <v>4839</v>
      </c>
      <c r="M913" s="616">
        <v>5371</v>
      </c>
      <c r="N913" s="614">
        <v>4611.36751</v>
      </c>
      <c r="O913" s="648"/>
      <c r="P913" s="648"/>
      <c r="R913" s="626"/>
      <c r="T913" s="633"/>
      <c r="U913" s="634"/>
    </row>
    <row r="914" spans="2:21" ht="28">
      <c r="B914" s="606" t="s">
        <v>1110</v>
      </c>
      <c r="C914" s="654">
        <v>81</v>
      </c>
      <c r="D914" s="607">
        <v>780</v>
      </c>
      <c r="E914" s="608">
        <v>817800</v>
      </c>
      <c r="F914" s="609" t="s">
        <v>1618</v>
      </c>
      <c r="G914" s="610"/>
      <c r="H914" s="610"/>
      <c r="I914" s="611" t="s">
        <v>175</v>
      </c>
      <c r="J914" s="616">
        <v>300</v>
      </c>
      <c r="K914" s="613">
        <v>240</v>
      </c>
      <c r="L914" s="616">
        <v>300</v>
      </c>
      <c r="M914" s="616">
        <v>300</v>
      </c>
      <c r="N914" s="614">
        <v>299.99961999999999</v>
      </c>
      <c r="O914" s="648"/>
      <c r="P914" s="648"/>
      <c r="R914" s="626"/>
      <c r="T914" s="633"/>
      <c r="U914" s="634"/>
    </row>
    <row r="915" spans="2:21" ht="19.149999999999999" customHeight="1">
      <c r="B915" s="606" t="s">
        <v>1110</v>
      </c>
      <c r="C915" s="655">
        <v>81</v>
      </c>
      <c r="D915" s="615">
        <v>781</v>
      </c>
      <c r="E915" s="608">
        <v>817800</v>
      </c>
      <c r="F915" s="609" t="s">
        <v>1591</v>
      </c>
      <c r="G915" s="610"/>
      <c r="H915" s="610"/>
      <c r="I915" s="611" t="s">
        <v>44</v>
      </c>
      <c r="J915" s="616">
        <v>465</v>
      </c>
      <c r="K915" s="613">
        <v>436</v>
      </c>
      <c r="L915" s="616">
        <v>436</v>
      </c>
      <c r="M915" s="616">
        <v>465</v>
      </c>
      <c r="N915" s="614">
        <v>347.00029999999998</v>
      </c>
      <c r="O915" s="648"/>
      <c r="P915" s="648"/>
      <c r="R915" s="626"/>
      <c r="T915" s="633"/>
      <c r="U915" s="634"/>
    </row>
    <row r="916" spans="2:21" ht="19.149999999999999" customHeight="1">
      <c r="B916" s="747"/>
      <c r="C916" s="656"/>
      <c r="D916" s="618"/>
      <c r="E916" s="619" t="s">
        <v>1109</v>
      </c>
      <c r="F916" s="620" t="s">
        <v>459</v>
      </c>
      <c r="G916" s="621">
        <f>SUM(G910:G915)</f>
        <v>5.05</v>
      </c>
      <c r="H916" s="621">
        <f>SUM(H910:H915)</f>
        <v>3.0436333333333341</v>
      </c>
      <c r="I916" s="622"/>
      <c r="J916" s="623">
        <f>SUM(J910:J915)</f>
        <v>19382</v>
      </c>
      <c r="K916" s="624">
        <f>SUM(K910:K915)</f>
        <v>15007</v>
      </c>
      <c r="L916" s="623">
        <f>SUM(L910:L915)</f>
        <v>18126</v>
      </c>
      <c r="M916" s="623">
        <f>SUM(M910:M915)</f>
        <v>19917</v>
      </c>
      <c r="N916" s="625">
        <f>SUM(N910:N915)</f>
        <v>16267.878139999999</v>
      </c>
      <c r="O916" s="648"/>
      <c r="P916" s="648"/>
      <c r="R916" s="626"/>
      <c r="T916" s="633"/>
      <c r="U916" s="632"/>
    </row>
    <row r="917" spans="2:21" ht="19.149999999999999" customHeight="1">
      <c r="B917" s="704"/>
      <c r="C917" s="684"/>
      <c r="D917" s="705"/>
      <c r="E917" s="695" t="s">
        <v>460</v>
      </c>
      <c r="F917" s="687" t="s">
        <v>994</v>
      </c>
      <c r="G917" s="706"/>
      <c r="H917" s="706"/>
      <c r="I917" s="707"/>
      <c r="J917" s="690"/>
      <c r="K917" s="693"/>
      <c r="L917" s="690"/>
      <c r="M917" s="690"/>
      <c r="N917" s="708"/>
      <c r="O917" s="648"/>
      <c r="P917" s="648"/>
      <c r="R917" s="626"/>
      <c r="T917" s="633"/>
      <c r="U917" s="632"/>
    </row>
    <row r="918" spans="2:21" ht="19.149999999999999" customHeight="1">
      <c r="B918" s="606" t="s">
        <v>461</v>
      </c>
      <c r="C918" s="654">
        <v>81</v>
      </c>
      <c r="D918" s="607">
        <v>100</v>
      </c>
      <c r="E918" s="608">
        <v>817900</v>
      </c>
      <c r="F918" s="609" t="s">
        <v>847</v>
      </c>
      <c r="G918" s="610">
        <v>16</v>
      </c>
      <c r="H918" s="610">
        <v>13.000233333333336</v>
      </c>
      <c r="I918" s="611" t="s">
        <v>669</v>
      </c>
      <c r="J918" s="616">
        <v>1234</v>
      </c>
      <c r="K918" s="613">
        <f>1234-100</f>
        <v>1134</v>
      </c>
      <c r="L918" s="616">
        <v>1234</v>
      </c>
      <c r="M918" s="616">
        <v>1234</v>
      </c>
      <c r="N918" s="614">
        <v>1222.7440100000001</v>
      </c>
      <c r="O918" s="648"/>
      <c r="P918" s="648"/>
      <c r="R918" s="626"/>
      <c r="T918" s="633"/>
      <c r="U918" s="634"/>
    </row>
    <row r="919" spans="2:21" ht="19.149999999999999" customHeight="1">
      <c r="B919" s="606" t="s">
        <v>461</v>
      </c>
      <c r="C919" s="654">
        <v>81</v>
      </c>
      <c r="D919" s="607">
        <v>101</v>
      </c>
      <c r="E919" s="608">
        <v>817900</v>
      </c>
      <c r="F919" s="701" t="s">
        <v>1051</v>
      </c>
      <c r="G919" s="610">
        <v>2</v>
      </c>
      <c r="H919" s="610">
        <v>1.1493</v>
      </c>
      <c r="I919" s="611" t="s">
        <v>669</v>
      </c>
      <c r="J919" s="616">
        <v>147</v>
      </c>
      <c r="K919" s="613">
        <f>147-30</f>
        <v>117</v>
      </c>
      <c r="L919" s="616">
        <v>147</v>
      </c>
      <c r="M919" s="616">
        <v>147</v>
      </c>
      <c r="N919" s="614">
        <v>137.74223000000001</v>
      </c>
      <c r="O919" s="648"/>
      <c r="P919" s="648"/>
      <c r="R919" s="626"/>
      <c r="T919" s="633"/>
      <c r="U919" s="634"/>
    </row>
    <row r="920" spans="2:21" ht="19.149999999999999" customHeight="1">
      <c r="B920" s="606" t="s">
        <v>461</v>
      </c>
      <c r="C920" s="654">
        <v>81</v>
      </c>
      <c r="D920" s="607">
        <v>102</v>
      </c>
      <c r="E920" s="608">
        <v>817900</v>
      </c>
      <c r="F920" s="609" t="s">
        <v>881</v>
      </c>
      <c r="G920" s="610">
        <v>2.4699999999999998</v>
      </c>
      <c r="H920" s="610">
        <v>2.4700000000000002</v>
      </c>
      <c r="I920" s="611" t="s">
        <v>669</v>
      </c>
      <c r="J920" s="616">
        <v>594</v>
      </c>
      <c r="K920" s="613">
        <v>581</v>
      </c>
      <c r="L920" s="616">
        <v>611</v>
      </c>
      <c r="M920" s="616">
        <v>611</v>
      </c>
      <c r="N920" s="614">
        <v>576.53694999999993</v>
      </c>
      <c r="O920" s="648"/>
      <c r="P920" s="648"/>
      <c r="R920" s="626"/>
      <c r="T920" s="633"/>
      <c r="U920" s="634"/>
    </row>
    <row r="921" spans="2:21" ht="19.149999999999999" customHeight="1">
      <c r="B921" s="606" t="s">
        <v>461</v>
      </c>
      <c r="C921" s="654">
        <v>81</v>
      </c>
      <c r="D921" s="607">
        <v>103</v>
      </c>
      <c r="E921" s="608">
        <v>817900</v>
      </c>
      <c r="F921" s="609" t="s">
        <v>1434</v>
      </c>
      <c r="G921" s="610">
        <v>1</v>
      </c>
      <c r="H921" s="610">
        <v>0.49998333333333334</v>
      </c>
      <c r="I921" s="611" t="s">
        <v>669</v>
      </c>
      <c r="J921" s="616">
        <v>142</v>
      </c>
      <c r="K921" s="613">
        <f>139-20</f>
        <v>119</v>
      </c>
      <c r="L921" s="616">
        <v>145</v>
      </c>
      <c r="M921" s="616">
        <v>145</v>
      </c>
      <c r="N921" s="614">
        <v>112.00842</v>
      </c>
      <c r="O921" s="648"/>
      <c r="P921" s="648"/>
      <c r="R921" s="626"/>
      <c r="T921" s="633"/>
      <c r="U921" s="634"/>
    </row>
    <row r="922" spans="2:21" ht="19.149999999999999" customHeight="1">
      <c r="B922" s="606" t="s">
        <v>461</v>
      </c>
      <c r="C922" s="654">
        <v>2</v>
      </c>
      <c r="D922" s="607">
        <v>410</v>
      </c>
      <c r="E922" s="608">
        <v>817900</v>
      </c>
      <c r="F922" s="609" t="s">
        <v>342</v>
      </c>
      <c r="G922" s="610"/>
      <c r="H922" s="610"/>
      <c r="I922" s="611" t="s">
        <v>175</v>
      </c>
      <c r="J922" s="616">
        <v>268</v>
      </c>
      <c r="K922" s="613">
        <v>268</v>
      </c>
      <c r="L922" s="616">
        <v>268</v>
      </c>
      <c r="M922" s="616">
        <v>268</v>
      </c>
      <c r="N922" s="614">
        <v>262.19299999999998</v>
      </c>
      <c r="O922" s="648"/>
      <c r="P922" s="648"/>
      <c r="R922" s="626"/>
      <c r="T922" s="633"/>
      <c r="U922" s="634"/>
    </row>
    <row r="923" spans="2:21" ht="19.149999999999999" customHeight="1">
      <c r="B923" s="606" t="s">
        <v>461</v>
      </c>
      <c r="C923" s="654">
        <v>5</v>
      </c>
      <c r="D923" s="607">
        <v>420</v>
      </c>
      <c r="E923" s="608">
        <v>817900</v>
      </c>
      <c r="F923" s="609" t="s">
        <v>544</v>
      </c>
      <c r="G923" s="610"/>
      <c r="H923" s="610"/>
      <c r="I923" s="611" t="s">
        <v>44</v>
      </c>
      <c r="J923" s="616">
        <v>1</v>
      </c>
      <c r="K923" s="613">
        <v>1</v>
      </c>
      <c r="L923" s="616">
        <v>1</v>
      </c>
      <c r="M923" s="616">
        <v>1</v>
      </c>
      <c r="N923" s="614">
        <v>0</v>
      </c>
      <c r="O923" s="648"/>
      <c r="P923" s="648"/>
      <c r="R923" s="626"/>
      <c r="T923" s="633"/>
      <c r="U923" s="634"/>
    </row>
    <row r="924" spans="2:21" ht="19.149999999999999" customHeight="1">
      <c r="B924" s="606" t="s">
        <v>461</v>
      </c>
      <c r="C924" s="654">
        <v>81</v>
      </c>
      <c r="D924" s="607">
        <v>430</v>
      </c>
      <c r="E924" s="608">
        <v>817900</v>
      </c>
      <c r="F924" s="609" t="s">
        <v>192</v>
      </c>
      <c r="G924" s="610"/>
      <c r="H924" s="610"/>
      <c r="I924" s="611" t="s">
        <v>175</v>
      </c>
      <c r="J924" s="616">
        <v>21</v>
      </c>
      <c r="K924" s="613">
        <v>21</v>
      </c>
      <c r="L924" s="616">
        <v>21</v>
      </c>
      <c r="M924" s="616">
        <v>21</v>
      </c>
      <c r="N924" s="614">
        <v>14.201879999999999</v>
      </c>
      <c r="O924" s="648"/>
      <c r="P924" s="648"/>
      <c r="R924" s="626"/>
      <c r="T924" s="633"/>
      <c r="U924" s="634"/>
    </row>
    <row r="925" spans="2:21" ht="19.149999999999999" customHeight="1">
      <c r="B925" s="606" t="s">
        <v>461</v>
      </c>
      <c r="C925" s="654">
        <v>81</v>
      </c>
      <c r="D925" s="607">
        <v>470</v>
      </c>
      <c r="E925" s="608">
        <v>817900</v>
      </c>
      <c r="F925" s="609" t="s">
        <v>343</v>
      </c>
      <c r="G925" s="610"/>
      <c r="H925" s="610"/>
      <c r="I925" s="611" t="s">
        <v>44</v>
      </c>
      <c r="J925" s="612">
        <v>10</v>
      </c>
      <c r="K925" s="613">
        <v>10</v>
      </c>
      <c r="L925" s="612">
        <v>10</v>
      </c>
      <c r="M925" s="612">
        <v>10</v>
      </c>
      <c r="N925" s="614">
        <v>6.43011</v>
      </c>
      <c r="O925" s="648"/>
      <c r="P925" s="648"/>
      <c r="R925" s="626"/>
      <c r="T925" s="633"/>
      <c r="U925" s="635"/>
    </row>
    <row r="926" spans="2:21" ht="19.149999999999999" customHeight="1">
      <c r="B926" s="606" t="s">
        <v>461</v>
      </c>
      <c r="C926" s="654">
        <v>10</v>
      </c>
      <c r="D926" s="607">
        <v>540</v>
      </c>
      <c r="E926" s="608">
        <v>817900</v>
      </c>
      <c r="F926" s="609" t="s">
        <v>1648</v>
      </c>
      <c r="G926" s="610"/>
      <c r="H926" s="610"/>
      <c r="I926" s="611" t="s">
        <v>175</v>
      </c>
      <c r="J926" s="616">
        <v>3</v>
      </c>
      <c r="K926" s="613">
        <v>3</v>
      </c>
      <c r="L926" s="616">
        <v>3</v>
      </c>
      <c r="M926" s="616">
        <v>5</v>
      </c>
      <c r="N926" s="614">
        <v>2.9557099999999998</v>
      </c>
      <c r="O926" s="648"/>
      <c r="P926" s="648"/>
      <c r="R926" s="626"/>
      <c r="T926" s="633"/>
      <c r="U926" s="634"/>
    </row>
    <row r="927" spans="2:21" ht="19.149999999999999" customHeight="1">
      <c r="B927" s="606" t="s">
        <v>461</v>
      </c>
      <c r="C927" s="654">
        <v>5</v>
      </c>
      <c r="D927" s="607">
        <v>742</v>
      </c>
      <c r="E927" s="608">
        <v>817900</v>
      </c>
      <c r="F927" s="710" t="s">
        <v>609</v>
      </c>
      <c r="G927" s="610"/>
      <c r="H927" s="610"/>
      <c r="I927" s="611" t="s">
        <v>175</v>
      </c>
      <c r="J927" s="616">
        <v>5</v>
      </c>
      <c r="K927" s="613">
        <v>5</v>
      </c>
      <c r="L927" s="616">
        <v>5</v>
      </c>
      <c r="M927" s="616">
        <v>5</v>
      </c>
      <c r="N927" s="614">
        <v>1.9683599999999999</v>
      </c>
      <c r="O927" s="648"/>
      <c r="P927" s="648"/>
      <c r="R927" s="626"/>
      <c r="T927" s="633"/>
      <c r="U927" s="634"/>
    </row>
    <row r="928" spans="2:21" ht="19.149999999999999" customHeight="1">
      <c r="B928" s="606" t="s">
        <v>461</v>
      </c>
      <c r="C928" s="654">
        <v>5</v>
      </c>
      <c r="D928" s="607">
        <v>750</v>
      </c>
      <c r="E928" s="608">
        <v>817900</v>
      </c>
      <c r="F928" s="609" t="s">
        <v>310</v>
      </c>
      <c r="G928" s="610"/>
      <c r="H928" s="610"/>
      <c r="I928" s="611" t="s">
        <v>175</v>
      </c>
      <c r="J928" s="616">
        <v>72</v>
      </c>
      <c r="K928" s="613">
        <v>72</v>
      </c>
      <c r="L928" s="616">
        <v>72</v>
      </c>
      <c r="M928" s="616">
        <v>72</v>
      </c>
      <c r="N928" s="614">
        <v>71.159019999999998</v>
      </c>
      <c r="O928" s="648"/>
      <c r="P928" s="648"/>
      <c r="R928" s="626"/>
      <c r="T928" s="633"/>
      <c r="U928" s="634"/>
    </row>
    <row r="929" spans="2:26" ht="19.149999999999999" customHeight="1">
      <c r="B929" s="606" t="s">
        <v>461</v>
      </c>
      <c r="C929" s="654">
        <v>81</v>
      </c>
      <c r="D929" s="607">
        <v>751</v>
      </c>
      <c r="E929" s="608">
        <v>817900</v>
      </c>
      <c r="F929" s="609" t="s">
        <v>1295</v>
      </c>
      <c r="G929" s="610"/>
      <c r="H929" s="610"/>
      <c r="I929" s="611" t="s">
        <v>44</v>
      </c>
      <c r="J929" s="616">
        <v>50</v>
      </c>
      <c r="K929" s="613">
        <v>50</v>
      </c>
      <c r="L929" s="616">
        <v>50</v>
      </c>
      <c r="M929" s="616">
        <v>50</v>
      </c>
      <c r="N929" s="614">
        <v>15.444000000000001</v>
      </c>
      <c r="O929" s="648"/>
      <c r="P929" s="648"/>
      <c r="R929" s="626"/>
      <c r="T929" s="633"/>
      <c r="U929" s="634"/>
    </row>
    <row r="930" spans="2:26" ht="19.149999999999999" customHeight="1">
      <c r="B930" s="606" t="s">
        <v>461</v>
      </c>
      <c r="C930" s="655">
        <v>81</v>
      </c>
      <c r="D930" s="615">
        <v>780</v>
      </c>
      <c r="E930" s="608">
        <v>817900</v>
      </c>
      <c r="F930" s="609" t="s">
        <v>1136</v>
      </c>
      <c r="G930" s="610"/>
      <c r="H930" s="610"/>
      <c r="I930" s="611" t="s">
        <v>44</v>
      </c>
      <c r="J930" s="616">
        <v>57</v>
      </c>
      <c r="K930" s="613">
        <v>60</v>
      </c>
      <c r="L930" s="616">
        <v>60</v>
      </c>
      <c r="M930" s="616">
        <v>63</v>
      </c>
      <c r="N930" s="614">
        <v>55.317910000000005</v>
      </c>
      <c r="O930" s="648"/>
      <c r="P930" s="648"/>
      <c r="R930" s="626"/>
      <c r="T930" s="633"/>
      <c r="U930" s="634"/>
    </row>
    <row r="931" spans="2:26" ht="19.149999999999999" customHeight="1">
      <c r="B931" s="606" t="s">
        <v>461</v>
      </c>
      <c r="C931" s="654">
        <v>81</v>
      </c>
      <c r="D931" s="607">
        <v>850</v>
      </c>
      <c r="E931" s="608">
        <v>817900</v>
      </c>
      <c r="F931" s="609" t="s">
        <v>898</v>
      </c>
      <c r="G931" s="610"/>
      <c r="H931" s="610"/>
      <c r="I931" s="611" t="s">
        <v>44</v>
      </c>
      <c r="J931" s="616">
        <v>150</v>
      </c>
      <c r="K931" s="613">
        <v>150</v>
      </c>
      <c r="L931" s="616">
        <v>150</v>
      </c>
      <c r="M931" s="616">
        <v>150</v>
      </c>
      <c r="N931" s="614">
        <v>177.54400000000001</v>
      </c>
      <c r="O931" s="648"/>
      <c r="P931" s="648"/>
      <c r="R931" s="626"/>
      <c r="T931" s="633"/>
      <c r="U931" s="634"/>
    </row>
    <row r="932" spans="2:26" ht="19.149999999999999" customHeight="1">
      <c r="B932" s="606" t="s">
        <v>461</v>
      </c>
      <c r="C932" s="654">
        <v>81</v>
      </c>
      <c r="D932" s="607">
        <v>860</v>
      </c>
      <c r="E932" s="608">
        <v>817900</v>
      </c>
      <c r="F932" s="609" t="s">
        <v>1435</v>
      </c>
      <c r="G932" s="610"/>
      <c r="H932" s="610"/>
      <c r="I932" s="611" t="s">
        <v>44</v>
      </c>
      <c r="J932" s="616">
        <v>74</v>
      </c>
      <c r="K932" s="613">
        <v>74</v>
      </c>
      <c r="L932" s="616">
        <v>74</v>
      </c>
      <c r="M932" s="616">
        <v>74</v>
      </c>
      <c r="N932" s="614">
        <v>18.015000000000001</v>
      </c>
      <c r="O932" s="648"/>
      <c r="P932" s="648"/>
      <c r="R932" s="626"/>
      <c r="T932" s="633"/>
      <c r="U932" s="634"/>
    </row>
    <row r="933" spans="2:26" ht="19.149999999999999" customHeight="1">
      <c r="B933" s="606" t="s">
        <v>461</v>
      </c>
      <c r="C933" s="654">
        <v>81</v>
      </c>
      <c r="D933" s="607">
        <v>930</v>
      </c>
      <c r="E933" s="608">
        <v>817900</v>
      </c>
      <c r="F933" s="609" t="s">
        <v>611</v>
      </c>
      <c r="G933" s="610"/>
      <c r="H933" s="610"/>
      <c r="I933" s="611" t="s">
        <v>44</v>
      </c>
      <c r="J933" s="616">
        <v>10</v>
      </c>
      <c r="K933" s="613">
        <v>10</v>
      </c>
      <c r="L933" s="616">
        <v>10</v>
      </c>
      <c r="M933" s="616">
        <v>10</v>
      </c>
      <c r="N933" s="614">
        <v>9.0556900000000002</v>
      </c>
      <c r="O933" s="648"/>
      <c r="P933" s="648"/>
      <c r="R933" s="626"/>
      <c r="T933" s="633"/>
      <c r="U933" s="634"/>
    </row>
    <row r="934" spans="2:26" ht="19.149999999999999" customHeight="1">
      <c r="B934" s="747"/>
      <c r="C934" s="656"/>
      <c r="D934" s="618"/>
      <c r="E934" s="619" t="s">
        <v>460</v>
      </c>
      <c r="F934" s="620" t="s">
        <v>795</v>
      </c>
      <c r="G934" s="621">
        <f>SUM(G918:G933)</f>
        <v>21.47</v>
      </c>
      <c r="H934" s="621">
        <f>SUM(H918:H933)</f>
        <v>17.119516666666669</v>
      </c>
      <c r="I934" s="622"/>
      <c r="J934" s="623">
        <f>SUM(J918:J933)</f>
        <v>2838</v>
      </c>
      <c r="K934" s="624">
        <f>SUM(K918:K933)</f>
        <v>2675</v>
      </c>
      <c r="L934" s="623">
        <f>SUM(L918:L933)</f>
        <v>2861</v>
      </c>
      <c r="M934" s="623">
        <f>SUM(M918:M933)</f>
        <v>2866</v>
      </c>
      <c r="N934" s="625">
        <f>SUM(N918:N933)</f>
        <v>2683.3162900000002</v>
      </c>
      <c r="O934" s="648"/>
      <c r="P934" s="648"/>
      <c r="R934" s="626"/>
      <c r="T934" s="633"/>
      <c r="U934" s="632"/>
    </row>
    <row r="935" spans="2:26" ht="19.149999999999999" customHeight="1">
      <c r="B935" s="704"/>
      <c r="C935" s="684"/>
      <c r="D935" s="705"/>
      <c r="E935" s="695" t="s">
        <v>976</v>
      </c>
      <c r="F935" s="687" t="s">
        <v>360</v>
      </c>
      <c r="G935" s="706"/>
      <c r="H935" s="706"/>
      <c r="I935" s="707"/>
      <c r="J935" s="690"/>
      <c r="K935" s="693"/>
      <c r="L935" s="690"/>
      <c r="M935" s="690"/>
      <c r="N935" s="708"/>
      <c r="O935" s="648"/>
      <c r="P935" s="648"/>
      <c r="R935" s="626"/>
      <c r="T935" s="633"/>
      <c r="U935" s="632"/>
    </row>
    <row r="936" spans="2:26" ht="19.149999999999999" customHeight="1">
      <c r="B936" s="606" t="s">
        <v>360</v>
      </c>
      <c r="C936" s="654">
        <v>81</v>
      </c>
      <c r="D936" s="607">
        <v>760</v>
      </c>
      <c r="E936" s="608">
        <v>817910</v>
      </c>
      <c r="F936" s="609" t="s">
        <v>1391</v>
      </c>
      <c r="G936" s="610"/>
      <c r="H936" s="610"/>
      <c r="I936" s="611" t="s">
        <v>175</v>
      </c>
      <c r="J936" s="616">
        <v>330</v>
      </c>
      <c r="K936" s="613">
        <v>330</v>
      </c>
      <c r="L936" s="616">
        <v>330</v>
      </c>
      <c r="M936" s="616">
        <v>330</v>
      </c>
      <c r="N936" s="614">
        <v>299.99986999999999</v>
      </c>
      <c r="O936" s="648"/>
      <c r="P936" s="648"/>
      <c r="R936" s="626"/>
      <c r="T936" s="633"/>
      <c r="U936" s="634"/>
    </row>
    <row r="937" spans="2:26" ht="19.149999999999999" customHeight="1">
      <c r="B937" s="606" t="s">
        <v>360</v>
      </c>
      <c r="C937" s="654">
        <v>81</v>
      </c>
      <c r="D937" s="607">
        <v>761</v>
      </c>
      <c r="E937" s="608">
        <v>817910</v>
      </c>
      <c r="F937" s="609" t="s">
        <v>1392</v>
      </c>
      <c r="G937" s="610"/>
      <c r="H937" s="610"/>
      <c r="I937" s="611" t="s">
        <v>175</v>
      </c>
      <c r="J937" s="616">
        <v>2215</v>
      </c>
      <c r="K937" s="613">
        <v>2215</v>
      </c>
      <c r="L937" s="616">
        <v>2215</v>
      </c>
      <c r="M937" s="616">
        <v>2215</v>
      </c>
      <c r="N937" s="614">
        <v>2023.6746000000001</v>
      </c>
      <c r="O937" s="648"/>
      <c r="P937" s="648"/>
      <c r="R937" s="626"/>
      <c r="T937" s="633"/>
      <c r="U937" s="634"/>
    </row>
    <row r="938" spans="2:26" ht="14">
      <c r="B938" s="747"/>
      <c r="C938" s="656"/>
      <c r="D938" s="618"/>
      <c r="E938" s="619" t="s">
        <v>976</v>
      </c>
      <c r="F938" s="620" t="s">
        <v>202</v>
      </c>
      <c r="G938" s="621">
        <f>SUM(G935:G937)</f>
        <v>0</v>
      </c>
      <c r="H938" s="621">
        <f>SUM(H935:H937)</f>
        <v>0</v>
      </c>
      <c r="I938" s="622"/>
      <c r="J938" s="623">
        <f>SUM(J935:J937)</f>
        <v>2545</v>
      </c>
      <c r="K938" s="624">
        <f>SUM(K935:K937)</f>
        <v>2545</v>
      </c>
      <c r="L938" s="623">
        <f>SUM(L935:L937)</f>
        <v>2545</v>
      </c>
      <c r="M938" s="623">
        <f>SUM(M935:M937)</f>
        <v>2545</v>
      </c>
      <c r="N938" s="625">
        <f>SUM(N935:N937)</f>
        <v>2323.6744699999999</v>
      </c>
      <c r="O938" s="648"/>
      <c r="P938" s="648"/>
      <c r="R938" s="626"/>
      <c r="T938" s="633"/>
      <c r="U938" s="632"/>
    </row>
    <row r="939" spans="2:26" ht="19.149999999999999" customHeight="1">
      <c r="B939" s="704"/>
      <c r="C939" s="684"/>
      <c r="D939" s="705"/>
      <c r="E939" s="695" t="s">
        <v>203</v>
      </c>
      <c r="F939" s="687" t="s">
        <v>204</v>
      </c>
      <c r="G939" s="706"/>
      <c r="H939" s="706"/>
      <c r="I939" s="707"/>
      <c r="J939" s="690"/>
      <c r="K939" s="693"/>
      <c r="L939" s="690"/>
      <c r="M939" s="690"/>
      <c r="N939" s="708"/>
      <c r="O939" s="648"/>
      <c r="P939" s="648"/>
      <c r="R939" s="626"/>
      <c r="T939" s="633"/>
      <c r="U939" s="632"/>
    </row>
    <row r="940" spans="2:26" ht="14">
      <c r="B940" s="606" t="s">
        <v>986</v>
      </c>
      <c r="C940" s="654">
        <v>81</v>
      </c>
      <c r="D940" s="607">
        <v>100</v>
      </c>
      <c r="E940" s="608">
        <v>817920</v>
      </c>
      <c r="F940" s="609" t="s">
        <v>1313</v>
      </c>
      <c r="G940" s="610">
        <v>1</v>
      </c>
      <c r="H940" s="610">
        <v>0.7</v>
      </c>
      <c r="I940" s="611" t="s">
        <v>669</v>
      </c>
      <c r="J940" s="616">
        <v>137</v>
      </c>
      <c r="K940" s="613">
        <v>115</v>
      </c>
      <c r="L940" s="616">
        <v>115</v>
      </c>
      <c r="M940" s="616">
        <v>89</v>
      </c>
      <c r="N940" s="614">
        <v>91.538060000000002</v>
      </c>
      <c r="O940" s="648"/>
      <c r="P940" s="648"/>
      <c r="R940" s="626"/>
      <c r="T940" s="633"/>
      <c r="U940" s="634"/>
    </row>
    <row r="941" spans="2:26" ht="28">
      <c r="B941" s="606" t="s">
        <v>986</v>
      </c>
      <c r="C941" s="654">
        <v>81</v>
      </c>
      <c r="D941" s="607">
        <v>101</v>
      </c>
      <c r="E941" s="608">
        <v>817920</v>
      </c>
      <c r="F941" s="609" t="s">
        <v>2074</v>
      </c>
      <c r="G941" s="610">
        <v>0</v>
      </c>
      <c r="H941" s="610">
        <v>0</v>
      </c>
      <c r="I941" s="611" t="s">
        <v>669</v>
      </c>
      <c r="J941" s="616">
        <v>0</v>
      </c>
      <c r="K941" s="613">
        <v>0</v>
      </c>
      <c r="L941" s="616">
        <v>0</v>
      </c>
      <c r="M941" s="616">
        <v>0</v>
      </c>
      <c r="N941" s="614">
        <v>8.3574099999999998</v>
      </c>
      <c r="O941" s="648"/>
      <c r="P941" s="648"/>
      <c r="R941" s="626"/>
      <c r="T941" s="633"/>
      <c r="U941" s="634"/>
    </row>
    <row r="942" spans="2:26" ht="28">
      <c r="B942" s="1088" t="s">
        <v>986</v>
      </c>
      <c r="C942" s="1089">
        <v>81</v>
      </c>
      <c r="D942" s="1090">
        <v>102</v>
      </c>
      <c r="E942" s="1091">
        <v>817920</v>
      </c>
      <c r="F942" s="1086" t="s">
        <v>2297</v>
      </c>
      <c r="G942" s="1085">
        <v>13.57</v>
      </c>
      <c r="H942" s="1085">
        <v>6.7566166666666643</v>
      </c>
      <c r="I942" s="1092" t="s">
        <v>669</v>
      </c>
      <c r="J942" s="1093">
        <v>1527</v>
      </c>
      <c r="K942" s="1094">
        <v>861</v>
      </c>
      <c r="L942" s="616">
        <v>755</v>
      </c>
      <c r="M942" s="616">
        <v>755</v>
      </c>
      <c r="N942" s="614">
        <v>613.66387999999995</v>
      </c>
      <c r="O942" s="648"/>
      <c r="P942" s="648"/>
      <c r="R942" s="626"/>
      <c r="T942" s="633"/>
      <c r="U942" s="634"/>
    </row>
    <row r="943" spans="2:26" ht="28">
      <c r="B943" s="1088" t="s">
        <v>986</v>
      </c>
      <c r="C943" s="1089">
        <v>81</v>
      </c>
      <c r="D943" s="1090">
        <v>103</v>
      </c>
      <c r="E943" s="1091">
        <v>817920</v>
      </c>
      <c r="F943" s="1086" t="s">
        <v>2298</v>
      </c>
      <c r="G943" s="1085">
        <v>4</v>
      </c>
      <c r="H943" s="1085">
        <v>4.1846666666666668</v>
      </c>
      <c r="I943" s="1092" t="s">
        <v>669</v>
      </c>
      <c r="J943" s="1093">
        <v>500</v>
      </c>
      <c r="K943" s="1094">
        <v>443</v>
      </c>
      <c r="L943" s="616">
        <v>436</v>
      </c>
      <c r="M943" s="616">
        <v>403</v>
      </c>
      <c r="N943" s="614">
        <v>338.72327000000001</v>
      </c>
      <c r="O943" s="648"/>
      <c r="P943" s="648"/>
      <c r="R943" s="626"/>
      <c r="T943" s="633"/>
      <c r="U943" s="634"/>
      <c r="Z943" s="216"/>
    </row>
    <row r="944" spans="2:26" ht="19.149999999999999" customHeight="1">
      <c r="B944" s="606" t="s">
        <v>986</v>
      </c>
      <c r="C944" s="654">
        <v>81</v>
      </c>
      <c r="D944" s="607">
        <v>104</v>
      </c>
      <c r="E944" s="608">
        <v>817920</v>
      </c>
      <c r="F944" s="609" t="s">
        <v>1757</v>
      </c>
      <c r="G944" s="610">
        <v>5.36</v>
      </c>
      <c r="H944" s="610">
        <v>2.67055</v>
      </c>
      <c r="I944" s="611" t="s">
        <v>669</v>
      </c>
      <c r="J944" s="616">
        <v>294</v>
      </c>
      <c r="K944" s="613">
        <v>288</v>
      </c>
      <c r="L944" s="616">
        <v>310</v>
      </c>
      <c r="M944" s="616">
        <v>222</v>
      </c>
      <c r="N944" s="614">
        <v>247.83678</v>
      </c>
      <c r="O944" s="648"/>
      <c r="P944" s="648"/>
      <c r="R944" s="626"/>
      <c r="T944" s="633"/>
      <c r="U944" s="634"/>
    </row>
    <row r="945" spans="2:21" ht="19.149999999999999" customHeight="1">
      <c r="B945" s="606" t="s">
        <v>986</v>
      </c>
      <c r="C945" s="654">
        <v>81</v>
      </c>
      <c r="D945" s="607">
        <v>105</v>
      </c>
      <c r="E945" s="608">
        <v>817920</v>
      </c>
      <c r="F945" s="609" t="s">
        <v>1758</v>
      </c>
      <c r="G945" s="610">
        <v>3</v>
      </c>
      <c r="H945" s="610">
        <v>4.2855999999999996</v>
      </c>
      <c r="I945" s="611" t="s">
        <v>669</v>
      </c>
      <c r="J945" s="616">
        <v>498</v>
      </c>
      <c r="K945" s="613">
        <v>486</v>
      </c>
      <c r="L945" s="616">
        <v>485</v>
      </c>
      <c r="M945" s="616">
        <v>313</v>
      </c>
      <c r="N945" s="614">
        <v>261.74225999999999</v>
      </c>
      <c r="O945" s="648"/>
      <c r="P945" s="648"/>
      <c r="R945" s="626"/>
      <c r="T945" s="633"/>
      <c r="U945" s="634"/>
    </row>
    <row r="946" spans="2:21" ht="28">
      <c r="B946" s="606" t="s">
        <v>986</v>
      </c>
      <c r="C946" s="654">
        <v>81</v>
      </c>
      <c r="D946" s="607">
        <v>106</v>
      </c>
      <c r="E946" s="608">
        <v>817920</v>
      </c>
      <c r="F946" s="609" t="s">
        <v>2031</v>
      </c>
      <c r="G946" s="610">
        <v>3.75</v>
      </c>
      <c r="H946" s="610">
        <v>3.083333333333333</v>
      </c>
      <c r="I946" s="611" t="s">
        <v>669</v>
      </c>
      <c r="J946" s="616">
        <f>491+94</f>
        <v>585</v>
      </c>
      <c r="K946" s="613">
        <v>480</v>
      </c>
      <c r="L946" s="616">
        <v>585</v>
      </c>
      <c r="M946" s="616">
        <v>585</v>
      </c>
      <c r="N946" s="614">
        <v>511.15641999999997</v>
      </c>
      <c r="O946" s="648"/>
      <c r="P946" s="648"/>
      <c r="R946" s="626"/>
      <c r="T946" s="633"/>
      <c r="U946" s="634"/>
    </row>
    <row r="947" spans="2:21" ht="14">
      <c r="B947" s="606" t="s">
        <v>986</v>
      </c>
      <c r="C947" s="654">
        <v>81</v>
      </c>
      <c r="D947" s="607">
        <v>781</v>
      </c>
      <c r="E947" s="608">
        <v>817920</v>
      </c>
      <c r="F947" s="609" t="s">
        <v>1800</v>
      </c>
      <c r="G947" s="610"/>
      <c r="H947" s="610"/>
      <c r="I947" s="611" t="s">
        <v>44</v>
      </c>
      <c r="J947" s="616">
        <f>648-49</f>
        <v>599</v>
      </c>
      <c r="K947" s="613">
        <v>599</v>
      </c>
      <c r="L947" s="616">
        <v>599</v>
      </c>
      <c r="M947" s="616">
        <v>550</v>
      </c>
      <c r="N947" s="614">
        <v>549.9991</v>
      </c>
      <c r="O947" s="648"/>
      <c r="P947" s="648"/>
      <c r="R947" s="626"/>
      <c r="T947" s="633"/>
      <c r="U947" s="634"/>
    </row>
    <row r="948" spans="2:21" ht="28">
      <c r="B948" s="606" t="s">
        <v>986</v>
      </c>
      <c r="C948" s="654">
        <v>84</v>
      </c>
      <c r="D948" s="607">
        <v>783</v>
      </c>
      <c r="E948" s="608">
        <v>817920</v>
      </c>
      <c r="F948" s="609" t="s">
        <v>2210</v>
      </c>
      <c r="G948" s="610"/>
      <c r="H948" s="610"/>
      <c r="I948" s="611" t="s">
        <v>44</v>
      </c>
      <c r="J948" s="616">
        <v>0</v>
      </c>
      <c r="K948" s="613">
        <v>0</v>
      </c>
      <c r="L948" s="616">
        <v>0</v>
      </c>
      <c r="M948" s="616">
        <v>0</v>
      </c>
      <c r="N948" s="614">
        <v>99.634</v>
      </c>
      <c r="O948" s="648"/>
      <c r="P948" s="648"/>
      <c r="R948" s="626"/>
      <c r="T948" s="633"/>
      <c r="U948" s="634"/>
    </row>
    <row r="949" spans="2:21" ht="19.149999999999999" customHeight="1">
      <c r="B949" s="606" t="s">
        <v>986</v>
      </c>
      <c r="C949" s="655">
        <v>81</v>
      </c>
      <c r="D949" s="615">
        <v>786</v>
      </c>
      <c r="E949" s="608">
        <v>817920</v>
      </c>
      <c r="F949" s="609" t="s">
        <v>1592</v>
      </c>
      <c r="G949" s="610"/>
      <c r="H949" s="610"/>
      <c r="I949" s="611" t="s">
        <v>44</v>
      </c>
      <c r="J949" s="616">
        <v>179</v>
      </c>
      <c r="K949" s="613">
        <v>159</v>
      </c>
      <c r="L949" s="616">
        <v>159</v>
      </c>
      <c r="M949" s="616">
        <v>180</v>
      </c>
      <c r="N949" s="614">
        <v>167.30593999999999</v>
      </c>
      <c r="O949" s="648"/>
      <c r="P949" s="648"/>
      <c r="R949" s="626"/>
      <c r="T949" s="633"/>
      <c r="U949" s="634"/>
    </row>
    <row r="950" spans="2:21" ht="28">
      <c r="B950" s="606" t="s">
        <v>986</v>
      </c>
      <c r="C950" s="654">
        <v>81</v>
      </c>
      <c r="D950" s="607">
        <v>788</v>
      </c>
      <c r="E950" s="608">
        <v>817920</v>
      </c>
      <c r="F950" s="609" t="s">
        <v>1787</v>
      </c>
      <c r="G950" s="610"/>
      <c r="H950" s="610"/>
      <c r="I950" s="611" t="s">
        <v>44</v>
      </c>
      <c r="J950" s="616">
        <v>1020</v>
      </c>
      <c r="K950" s="613">
        <v>1020</v>
      </c>
      <c r="L950" s="616">
        <v>1020</v>
      </c>
      <c r="M950" s="616">
        <v>1020</v>
      </c>
      <c r="N950" s="614">
        <v>1020</v>
      </c>
      <c r="O950" s="648"/>
      <c r="P950" s="648"/>
      <c r="R950" s="626"/>
      <c r="T950" s="633"/>
      <c r="U950" s="634"/>
    </row>
    <row r="951" spans="2:21" ht="19.149999999999999" customHeight="1">
      <c r="B951" s="747"/>
      <c r="C951" s="656"/>
      <c r="D951" s="618"/>
      <c r="E951" s="619" t="s">
        <v>203</v>
      </c>
      <c r="F951" s="620" t="s">
        <v>205</v>
      </c>
      <c r="G951" s="621">
        <f>SUM(G940:G950)</f>
        <v>30.68</v>
      </c>
      <c r="H951" s="621">
        <f>SUM(H940:H950)</f>
        <v>21.680766666666663</v>
      </c>
      <c r="I951" s="622"/>
      <c r="J951" s="623">
        <f>SUM(J940:J950)</f>
        <v>5339</v>
      </c>
      <c r="K951" s="624">
        <f>SUM(K940:K950)</f>
        <v>4451</v>
      </c>
      <c r="L951" s="623">
        <f>SUM(L940:L950)</f>
        <v>4464</v>
      </c>
      <c r="M951" s="623">
        <f>SUM(M940:M950)</f>
        <v>4117</v>
      </c>
      <c r="N951" s="625">
        <f>SUM(N940:N950)</f>
        <v>3909.95712</v>
      </c>
      <c r="O951" s="648"/>
      <c r="P951" s="648"/>
      <c r="R951" s="626"/>
      <c r="T951" s="633"/>
      <c r="U951" s="632"/>
    </row>
    <row r="952" spans="2:21" ht="19.149999999999999" customHeight="1">
      <c r="B952" s="704"/>
      <c r="C952" s="684"/>
      <c r="D952" s="705"/>
      <c r="E952" s="695" t="s">
        <v>918</v>
      </c>
      <c r="F952" s="687" t="s">
        <v>101</v>
      </c>
      <c r="G952" s="706"/>
      <c r="H952" s="706"/>
      <c r="I952" s="707"/>
      <c r="J952" s="690"/>
      <c r="K952" s="693"/>
      <c r="L952" s="690"/>
      <c r="M952" s="690"/>
      <c r="N952" s="708"/>
      <c r="O952" s="648"/>
      <c r="P952" s="648"/>
      <c r="R952" s="626"/>
      <c r="T952" s="633"/>
      <c r="U952" s="632"/>
    </row>
    <row r="953" spans="2:21" ht="19.149999999999999" customHeight="1">
      <c r="B953" s="606" t="s">
        <v>101</v>
      </c>
      <c r="C953" s="654">
        <v>81</v>
      </c>
      <c r="D953" s="607">
        <v>850</v>
      </c>
      <c r="E953" s="608">
        <v>817930</v>
      </c>
      <c r="F953" s="609" t="s">
        <v>102</v>
      </c>
      <c r="G953" s="610"/>
      <c r="H953" s="610"/>
      <c r="I953" s="611" t="s">
        <v>44</v>
      </c>
      <c r="J953" s="616">
        <v>160</v>
      </c>
      <c r="K953" s="613">
        <v>160</v>
      </c>
      <c r="L953" s="616">
        <v>160</v>
      </c>
      <c r="M953" s="616">
        <v>160</v>
      </c>
      <c r="N953" s="614">
        <v>106.9278</v>
      </c>
      <c r="O953" s="648"/>
      <c r="P953" s="648"/>
      <c r="R953" s="626"/>
      <c r="T953" s="633"/>
      <c r="U953" s="634"/>
    </row>
    <row r="954" spans="2:21" ht="19.149999999999999" customHeight="1">
      <c r="B954" s="606" t="s">
        <v>101</v>
      </c>
      <c r="C954" s="654">
        <v>81</v>
      </c>
      <c r="D954" s="607">
        <v>855</v>
      </c>
      <c r="E954" s="608">
        <v>817930</v>
      </c>
      <c r="F954" s="609" t="s">
        <v>357</v>
      </c>
      <c r="G954" s="610"/>
      <c r="H954" s="610"/>
      <c r="I954" s="611" t="s">
        <v>44</v>
      </c>
      <c r="J954" s="616">
        <v>535</v>
      </c>
      <c r="K954" s="613">
        <v>535</v>
      </c>
      <c r="L954" s="616">
        <v>535</v>
      </c>
      <c r="M954" s="616">
        <v>535</v>
      </c>
      <c r="N954" s="614">
        <v>504</v>
      </c>
      <c r="O954" s="648"/>
      <c r="P954" s="648"/>
      <c r="R954" s="626"/>
      <c r="T954" s="633"/>
      <c r="U954" s="634"/>
    </row>
    <row r="955" spans="2:21" ht="19.149999999999999" customHeight="1">
      <c r="B955" s="606" t="s">
        <v>101</v>
      </c>
      <c r="C955" s="654">
        <v>81</v>
      </c>
      <c r="D955" s="607">
        <v>856</v>
      </c>
      <c r="E955" s="608">
        <v>817930</v>
      </c>
      <c r="F955" s="609" t="s">
        <v>513</v>
      </c>
      <c r="G955" s="610"/>
      <c r="H955" s="610"/>
      <c r="I955" s="611" t="s">
        <v>44</v>
      </c>
      <c r="J955" s="616">
        <v>19</v>
      </c>
      <c r="K955" s="613">
        <v>20</v>
      </c>
      <c r="L955" s="616">
        <v>20</v>
      </c>
      <c r="M955" s="616">
        <v>20</v>
      </c>
      <c r="N955" s="614">
        <v>20</v>
      </c>
      <c r="O955" s="648"/>
      <c r="P955" s="648"/>
      <c r="R955" s="626"/>
      <c r="T955" s="633"/>
      <c r="U955" s="634"/>
    </row>
    <row r="956" spans="2:21" ht="19.149999999999999" customHeight="1">
      <c r="B956" s="606" t="s">
        <v>101</v>
      </c>
      <c r="C956" s="654">
        <v>81</v>
      </c>
      <c r="D956" s="607">
        <v>860</v>
      </c>
      <c r="E956" s="608">
        <v>817930</v>
      </c>
      <c r="F956" s="724" t="s">
        <v>364</v>
      </c>
      <c r="G956" s="610"/>
      <c r="H956" s="610"/>
      <c r="I956" s="611" t="s">
        <v>44</v>
      </c>
      <c r="J956" s="616">
        <v>96</v>
      </c>
      <c r="K956" s="613">
        <v>96</v>
      </c>
      <c r="L956" s="616">
        <v>96</v>
      </c>
      <c r="M956" s="616">
        <v>96</v>
      </c>
      <c r="N956" s="614">
        <v>96</v>
      </c>
      <c r="O956" s="648"/>
      <c r="P956" s="648"/>
      <c r="R956" s="626"/>
      <c r="T956" s="633"/>
      <c r="U956" s="634"/>
    </row>
    <row r="957" spans="2:21" ht="19.149999999999999" customHeight="1">
      <c r="B957" s="747"/>
      <c r="C957" s="656"/>
      <c r="D957" s="618"/>
      <c r="E957" s="619" t="s">
        <v>918</v>
      </c>
      <c r="F957" s="620" t="s">
        <v>1031</v>
      </c>
      <c r="G957" s="621">
        <f>SUM(G953:G956)</f>
        <v>0</v>
      </c>
      <c r="H957" s="621">
        <f>SUM(H953:H956)</f>
        <v>0</v>
      </c>
      <c r="I957" s="622"/>
      <c r="J957" s="623">
        <f>SUM(J952:J956)</f>
        <v>810</v>
      </c>
      <c r="K957" s="624">
        <f>SUM(K952:K956)</f>
        <v>811</v>
      </c>
      <c r="L957" s="623">
        <f>SUM(L952:L956)</f>
        <v>811</v>
      </c>
      <c r="M957" s="623">
        <f>SUM(M952:M956)</f>
        <v>811</v>
      </c>
      <c r="N957" s="625">
        <f>SUM(N952:N956)</f>
        <v>726.92780000000005</v>
      </c>
      <c r="O957" s="648"/>
      <c r="P957" s="648"/>
      <c r="R957" s="626"/>
      <c r="T957" s="633"/>
      <c r="U957" s="632"/>
    </row>
    <row r="958" spans="2:21" ht="19.149999999999999" customHeight="1">
      <c r="B958" s="704"/>
      <c r="C958" s="684"/>
      <c r="D958" s="705"/>
      <c r="E958" s="695" t="s">
        <v>1032</v>
      </c>
      <c r="F958" s="687" t="s">
        <v>1415</v>
      </c>
      <c r="G958" s="706"/>
      <c r="H958" s="706"/>
      <c r="I958" s="707"/>
      <c r="J958" s="690"/>
      <c r="K958" s="693"/>
      <c r="L958" s="690"/>
      <c r="M958" s="690"/>
      <c r="N958" s="708"/>
      <c r="O958" s="648"/>
      <c r="P958" s="648"/>
      <c r="R958" s="626"/>
      <c r="T958" s="633"/>
      <c r="U958" s="632"/>
    </row>
    <row r="959" spans="2:21" ht="28">
      <c r="B959" s="606" t="s">
        <v>1416</v>
      </c>
      <c r="C959" s="655">
        <v>1</v>
      </c>
      <c r="D959" s="615">
        <v>781</v>
      </c>
      <c r="E959" s="608">
        <v>817950</v>
      </c>
      <c r="F959" s="1086" t="s">
        <v>2310</v>
      </c>
      <c r="G959" s="610"/>
      <c r="H959" s="610"/>
      <c r="I959" s="611" t="s">
        <v>44</v>
      </c>
      <c r="J959" s="616">
        <v>140</v>
      </c>
      <c r="K959" s="613">
        <v>229</v>
      </c>
      <c r="L959" s="616">
        <v>229</v>
      </c>
      <c r="M959" s="616">
        <v>240</v>
      </c>
      <c r="N959" s="614">
        <v>219.53189</v>
      </c>
      <c r="O959" s="648"/>
      <c r="P959" s="648"/>
      <c r="R959" s="626"/>
      <c r="T959" s="633"/>
      <c r="U959" s="634"/>
    </row>
    <row r="960" spans="2:21" ht="14">
      <c r="B960" s="747"/>
      <c r="C960" s="656"/>
      <c r="D960" s="618"/>
      <c r="E960" s="619" t="s">
        <v>1032</v>
      </c>
      <c r="F960" s="620" t="s">
        <v>1417</v>
      </c>
      <c r="G960" s="621">
        <f>SUM(G959:G959)</f>
        <v>0</v>
      </c>
      <c r="H960" s="621">
        <f>SUM(H959:H959)</f>
        <v>0</v>
      </c>
      <c r="I960" s="622"/>
      <c r="J960" s="623">
        <f>SUM(J959:J959)</f>
        <v>140</v>
      </c>
      <c r="K960" s="624">
        <f>SUM(K959:K959)</f>
        <v>229</v>
      </c>
      <c r="L960" s="623">
        <f>SUM(L959:L959)</f>
        <v>229</v>
      </c>
      <c r="M960" s="623">
        <f>SUM(M959:M959)</f>
        <v>240</v>
      </c>
      <c r="N960" s="625">
        <f>SUM(N959:N959)</f>
        <v>219.53189</v>
      </c>
      <c r="O960" s="648"/>
      <c r="P960" s="648"/>
      <c r="R960" s="626"/>
      <c r="T960" s="633"/>
      <c r="U960" s="632"/>
    </row>
    <row r="961" spans="2:21" ht="19.149999999999999" customHeight="1">
      <c r="B961" s="704"/>
      <c r="C961" s="684"/>
      <c r="D961" s="705"/>
      <c r="E961" s="695" t="s">
        <v>762</v>
      </c>
      <c r="F961" s="687" t="s">
        <v>970</v>
      </c>
      <c r="G961" s="706"/>
      <c r="H961" s="706"/>
      <c r="I961" s="707"/>
      <c r="J961" s="690"/>
      <c r="K961" s="693"/>
      <c r="L961" s="690"/>
      <c r="M961" s="690"/>
      <c r="N961" s="708"/>
      <c r="O961" s="648"/>
      <c r="P961" s="648"/>
      <c r="R961" s="626"/>
      <c r="T961" s="633"/>
      <c r="U961" s="632"/>
    </row>
    <row r="962" spans="2:21" ht="28">
      <c r="B962" s="606" t="s">
        <v>278</v>
      </c>
      <c r="C962" s="654">
        <v>5</v>
      </c>
      <c r="D962" s="607">
        <v>100</v>
      </c>
      <c r="E962" s="608">
        <v>817960</v>
      </c>
      <c r="F962" s="703" t="s">
        <v>1701</v>
      </c>
      <c r="G962" s="610">
        <v>0</v>
      </c>
      <c r="H962" s="610">
        <v>0</v>
      </c>
      <c r="I962" s="611" t="s">
        <v>669</v>
      </c>
      <c r="J962" s="616">
        <v>1260</v>
      </c>
      <c r="K962" s="613">
        <v>1228</v>
      </c>
      <c r="L962" s="616">
        <v>1261</v>
      </c>
      <c r="M962" s="616">
        <v>1261</v>
      </c>
      <c r="N962" s="614">
        <v>1200.6676200000002</v>
      </c>
      <c r="O962" s="648"/>
      <c r="P962" s="648"/>
      <c r="R962" s="626"/>
      <c r="T962" s="633"/>
      <c r="U962" s="634"/>
    </row>
    <row r="963" spans="2:21" ht="28">
      <c r="B963" s="606" t="s">
        <v>278</v>
      </c>
      <c r="C963" s="654">
        <v>5</v>
      </c>
      <c r="D963" s="607">
        <v>420</v>
      </c>
      <c r="E963" s="608">
        <v>817960</v>
      </c>
      <c r="F963" s="703" t="s">
        <v>1766</v>
      </c>
      <c r="G963" s="610"/>
      <c r="H963" s="610"/>
      <c r="I963" s="611" t="s">
        <v>44</v>
      </c>
      <c r="J963" s="616">
        <v>890</v>
      </c>
      <c r="K963" s="613">
        <v>890</v>
      </c>
      <c r="L963" s="616">
        <v>890</v>
      </c>
      <c r="M963" s="616">
        <v>890</v>
      </c>
      <c r="N963" s="614">
        <v>854.69315000000006</v>
      </c>
      <c r="O963" s="648"/>
      <c r="P963" s="648"/>
      <c r="R963" s="626"/>
      <c r="T963" s="633"/>
      <c r="U963" s="634"/>
    </row>
    <row r="964" spans="2:21" ht="19.149999999999999" customHeight="1">
      <c r="B964" s="606" t="s">
        <v>278</v>
      </c>
      <c r="C964" s="654">
        <v>5</v>
      </c>
      <c r="D964" s="607">
        <v>421</v>
      </c>
      <c r="E964" s="608">
        <v>817960</v>
      </c>
      <c r="F964" s="703" t="s">
        <v>604</v>
      </c>
      <c r="G964" s="610"/>
      <c r="H964" s="610"/>
      <c r="I964" s="611" t="s">
        <v>44</v>
      </c>
      <c r="J964" s="616">
        <v>110</v>
      </c>
      <c r="K964" s="613">
        <v>110</v>
      </c>
      <c r="L964" s="616">
        <v>110</v>
      </c>
      <c r="M964" s="616">
        <v>110</v>
      </c>
      <c r="N964" s="614">
        <v>98.535640000000001</v>
      </c>
      <c r="O964" s="648"/>
      <c r="P964" s="648"/>
      <c r="R964" s="626"/>
      <c r="T964" s="633"/>
      <c r="U964" s="634"/>
    </row>
    <row r="965" spans="2:21" ht="21.5">
      <c r="B965" s="606" t="s">
        <v>278</v>
      </c>
      <c r="C965" s="654">
        <v>5</v>
      </c>
      <c r="D965" s="607">
        <v>423</v>
      </c>
      <c r="E965" s="608">
        <v>817960</v>
      </c>
      <c r="F965" s="703" t="s">
        <v>1789</v>
      </c>
      <c r="G965" s="610"/>
      <c r="H965" s="610"/>
      <c r="I965" s="611" t="s">
        <v>175</v>
      </c>
      <c r="J965" s="616">
        <v>80</v>
      </c>
      <c r="K965" s="613">
        <v>80</v>
      </c>
      <c r="L965" s="616">
        <v>80</v>
      </c>
      <c r="M965" s="616">
        <v>80</v>
      </c>
      <c r="N965" s="614">
        <v>1.9730000000000001</v>
      </c>
      <c r="O965" s="648"/>
      <c r="P965" s="648"/>
      <c r="R965" s="626"/>
      <c r="T965" s="633"/>
      <c r="U965" s="634"/>
    </row>
    <row r="966" spans="2:21" ht="28">
      <c r="B966" s="606" t="s">
        <v>278</v>
      </c>
      <c r="C966" s="654">
        <v>81</v>
      </c>
      <c r="D966" s="607">
        <v>425</v>
      </c>
      <c r="E966" s="608">
        <v>817960</v>
      </c>
      <c r="F966" s="703" t="s">
        <v>1259</v>
      </c>
      <c r="G966" s="610"/>
      <c r="H966" s="610"/>
      <c r="I966" s="611" t="s">
        <v>44</v>
      </c>
      <c r="J966" s="616">
        <v>100</v>
      </c>
      <c r="K966" s="613">
        <v>100</v>
      </c>
      <c r="L966" s="616">
        <v>100</v>
      </c>
      <c r="M966" s="616">
        <v>100</v>
      </c>
      <c r="N966" s="614">
        <v>83.537100000000009</v>
      </c>
      <c r="O966" s="648"/>
      <c r="P966" s="648"/>
      <c r="R966" s="626"/>
      <c r="T966" s="633"/>
      <c r="U966" s="634"/>
    </row>
    <row r="967" spans="2:21" ht="18" customHeight="1">
      <c r="B967" s="606" t="s">
        <v>278</v>
      </c>
      <c r="C967" s="654">
        <v>2</v>
      </c>
      <c r="D967" s="607">
        <v>426</v>
      </c>
      <c r="E967" s="608">
        <v>817960</v>
      </c>
      <c r="F967" s="703" t="s">
        <v>1375</v>
      </c>
      <c r="G967" s="610"/>
      <c r="H967" s="610"/>
      <c r="I967" s="611" t="s">
        <v>175</v>
      </c>
      <c r="J967" s="616">
        <v>70</v>
      </c>
      <c r="K967" s="613">
        <v>70</v>
      </c>
      <c r="L967" s="616">
        <v>70</v>
      </c>
      <c r="M967" s="616">
        <v>70</v>
      </c>
      <c r="N967" s="614">
        <v>66.659000000000006</v>
      </c>
      <c r="O967" s="648"/>
      <c r="P967" s="648"/>
      <c r="R967" s="626"/>
      <c r="T967" s="633"/>
      <c r="U967" s="634"/>
    </row>
    <row r="968" spans="2:21" ht="28">
      <c r="B968" s="606" t="s">
        <v>278</v>
      </c>
      <c r="C968" s="654">
        <v>81</v>
      </c>
      <c r="D968" s="607">
        <v>432</v>
      </c>
      <c r="E968" s="608">
        <v>817960</v>
      </c>
      <c r="F968" s="609" t="s">
        <v>1767</v>
      </c>
      <c r="G968" s="610"/>
      <c r="H968" s="610"/>
      <c r="I968" s="611" t="s">
        <v>175</v>
      </c>
      <c r="J968" s="616">
        <v>51</v>
      </c>
      <c r="K968" s="613">
        <v>51</v>
      </c>
      <c r="L968" s="616">
        <v>51</v>
      </c>
      <c r="M968" s="616">
        <v>51</v>
      </c>
      <c r="N968" s="614">
        <v>27.082900000000002</v>
      </c>
      <c r="O968" s="648"/>
      <c r="P968" s="648"/>
      <c r="R968" s="626"/>
      <c r="T968" s="633"/>
      <c r="U968" s="634"/>
    </row>
    <row r="969" spans="2:21" ht="19.149999999999999" customHeight="1">
      <c r="B969" s="606" t="s">
        <v>278</v>
      </c>
      <c r="C969" s="655">
        <v>5</v>
      </c>
      <c r="D969" s="615">
        <v>720</v>
      </c>
      <c r="E969" s="608">
        <v>817960</v>
      </c>
      <c r="F969" s="609" t="s">
        <v>1398</v>
      </c>
      <c r="G969" s="610"/>
      <c r="H969" s="610"/>
      <c r="I969" s="611" t="s">
        <v>44</v>
      </c>
      <c r="J969" s="616">
        <v>152</v>
      </c>
      <c r="K969" s="613">
        <v>152</v>
      </c>
      <c r="L969" s="616">
        <v>152</v>
      </c>
      <c r="M969" s="616">
        <v>172</v>
      </c>
      <c r="N969" s="614">
        <v>168.68007999999998</v>
      </c>
      <c r="O969" s="648"/>
      <c r="P969" s="648"/>
      <c r="R969" s="626"/>
      <c r="T969" s="633"/>
      <c r="U969" s="634"/>
    </row>
    <row r="970" spans="2:21" ht="21.5">
      <c r="B970" s="606" t="s">
        <v>278</v>
      </c>
      <c r="C970" s="655">
        <v>5</v>
      </c>
      <c r="D970" s="615">
        <v>740</v>
      </c>
      <c r="E970" s="608">
        <v>817960</v>
      </c>
      <c r="F970" s="609" t="s">
        <v>697</v>
      </c>
      <c r="G970" s="610"/>
      <c r="H970" s="610"/>
      <c r="I970" s="611" t="s">
        <v>44</v>
      </c>
      <c r="J970" s="616">
        <v>165</v>
      </c>
      <c r="K970" s="613">
        <v>165</v>
      </c>
      <c r="L970" s="616">
        <v>165</v>
      </c>
      <c r="M970" s="616">
        <v>175</v>
      </c>
      <c r="N970" s="614">
        <v>116.99799</v>
      </c>
      <c r="O970" s="648"/>
      <c r="P970" s="648"/>
      <c r="R970" s="626"/>
      <c r="T970" s="633"/>
      <c r="U970" s="634"/>
    </row>
    <row r="971" spans="2:21" ht="19.149999999999999" customHeight="1">
      <c r="B971" s="606" t="s">
        <v>278</v>
      </c>
      <c r="C971" s="654">
        <v>5</v>
      </c>
      <c r="D971" s="607">
        <v>747</v>
      </c>
      <c r="E971" s="608">
        <v>817960</v>
      </c>
      <c r="F971" s="609" t="s">
        <v>22</v>
      </c>
      <c r="G971" s="610"/>
      <c r="H971" s="610"/>
      <c r="I971" s="611" t="s">
        <v>175</v>
      </c>
      <c r="J971" s="616">
        <v>640</v>
      </c>
      <c r="K971" s="613">
        <v>550</v>
      </c>
      <c r="L971" s="616">
        <v>550</v>
      </c>
      <c r="M971" s="616">
        <v>640</v>
      </c>
      <c r="N971" s="614">
        <v>606.62042000000008</v>
      </c>
      <c r="O971" s="648"/>
      <c r="P971" s="648"/>
      <c r="R971" s="626"/>
      <c r="T971" s="633"/>
      <c r="U971" s="634"/>
    </row>
    <row r="972" spans="2:21" ht="19.149999999999999" customHeight="1">
      <c r="B972" s="606" t="s">
        <v>278</v>
      </c>
      <c r="C972" s="654">
        <v>5</v>
      </c>
      <c r="D972" s="607">
        <v>749</v>
      </c>
      <c r="E972" s="608">
        <v>817960</v>
      </c>
      <c r="F972" s="703" t="s">
        <v>1730</v>
      </c>
      <c r="G972" s="610"/>
      <c r="H972" s="610"/>
      <c r="I972" s="611" t="s">
        <v>44</v>
      </c>
      <c r="J972" s="616">
        <v>77</v>
      </c>
      <c r="K972" s="613">
        <v>77</v>
      </c>
      <c r="L972" s="616">
        <v>77</v>
      </c>
      <c r="M972" s="616">
        <v>77</v>
      </c>
      <c r="N972" s="614">
        <v>74.084720000000004</v>
      </c>
      <c r="O972" s="648"/>
      <c r="P972" s="648"/>
      <c r="R972" s="626"/>
      <c r="T972" s="633"/>
      <c r="U972" s="634"/>
    </row>
    <row r="973" spans="2:21" ht="28">
      <c r="B973" s="606" t="s">
        <v>278</v>
      </c>
      <c r="C973" s="654">
        <v>3</v>
      </c>
      <c r="D973" s="607">
        <v>750</v>
      </c>
      <c r="E973" s="608">
        <v>817960</v>
      </c>
      <c r="F973" s="703" t="s">
        <v>98</v>
      </c>
      <c r="G973" s="610"/>
      <c r="H973" s="610"/>
      <c r="I973" s="611" t="s">
        <v>175</v>
      </c>
      <c r="J973" s="616">
        <v>781</v>
      </c>
      <c r="K973" s="613">
        <v>759</v>
      </c>
      <c r="L973" s="616">
        <v>759</v>
      </c>
      <c r="M973" s="616">
        <v>724</v>
      </c>
      <c r="N973" s="614">
        <v>929.2251</v>
      </c>
      <c r="O973" s="648"/>
      <c r="P973" s="648"/>
      <c r="R973" s="626"/>
      <c r="T973" s="633"/>
      <c r="U973" s="634"/>
    </row>
    <row r="974" spans="2:21" ht="19.149999999999999" customHeight="1">
      <c r="B974" s="606" t="s">
        <v>278</v>
      </c>
      <c r="C974" s="654">
        <v>5</v>
      </c>
      <c r="D974" s="607">
        <v>751</v>
      </c>
      <c r="E974" s="608">
        <v>817960</v>
      </c>
      <c r="F974" s="609" t="s">
        <v>1804</v>
      </c>
      <c r="G974" s="610"/>
      <c r="H974" s="610"/>
      <c r="I974" s="611" t="s">
        <v>175</v>
      </c>
      <c r="J974" s="616">
        <v>161</v>
      </c>
      <c r="K974" s="613">
        <v>161</v>
      </c>
      <c r="L974" s="616">
        <v>161</v>
      </c>
      <c r="M974" s="616">
        <v>166</v>
      </c>
      <c r="N974" s="614">
        <v>69.793390000000002</v>
      </c>
      <c r="O974" s="648"/>
      <c r="P974" s="648"/>
      <c r="R974" s="626"/>
      <c r="T974" s="633"/>
      <c r="U974" s="634"/>
    </row>
    <row r="975" spans="2:21" ht="21.5">
      <c r="B975" s="606" t="s">
        <v>278</v>
      </c>
      <c r="C975" s="654">
        <v>3</v>
      </c>
      <c r="D975" s="607">
        <v>753</v>
      </c>
      <c r="E975" s="608">
        <v>817960</v>
      </c>
      <c r="F975" s="609" t="s">
        <v>1951</v>
      </c>
      <c r="G975" s="610"/>
      <c r="H975" s="610"/>
      <c r="I975" s="611" t="s">
        <v>175</v>
      </c>
      <c r="J975" s="616">
        <v>303</v>
      </c>
      <c r="K975" s="613">
        <v>303</v>
      </c>
      <c r="L975" s="616">
        <v>303</v>
      </c>
      <c r="M975" s="616">
        <v>303</v>
      </c>
      <c r="N975" s="614">
        <v>0</v>
      </c>
      <c r="O975" s="648"/>
      <c r="P975" s="648"/>
      <c r="R975" s="626"/>
      <c r="T975" s="633"/>
      <c r="U975" s="634"/>
    </row>
    <row r="976" spans="2:21" ht="19.149999999999999" customHeight="1">
      <c r="B976" s="606" t="s">
        <v>278</v>
      </c>
      <c r="C976" s="654">
        <v>3</v>
      </c>
      <c r="D976" s="607">
        <v>780</v>
      </c>
      <c r="E976" s="608">
        <v>817960</v>
      </c>
      <c r="F976" s="609" t="s">
        <v>1547</v>
      </c>
      <c r="G976" s="610"/>
      <c r="H976" s="610"/>
      <c r="I976" s="611" t="s">
        <v>44</v>
      </c>
      <c r="J976" s="616">
        <v>336</v>
      </c>
      <c r="K976" s="613">
        <v>204</v>
      </c>
      <c r="L976" s="616">
        <v>204</v>
      </c>
      <c r="M976" s="616">
        <v>354</v>
      </c>
      <c r="N976" s="614">
        <v>353.03368999999998</v>
      </c>
      <c r="O976" s="648"/>
      <c r="P976" s="648"/>
      <c r="R976" s="626"/>
      <c r="T976" s="633"/>
      <c r="U976" s="634"/>
    </row>
    <row r="977" spans="2:21" ht="19.149999999999999" customHeight="1">
      <c r="B977" s="606" t="s">
        <v>278</v>
      </c>
      <c r="C977" s="654">
        <v>5</v>
      </c>
      <c r="D977" s="607">
        <v>781</v>
      </c>
      <c r="E977" s="608">
        <v>817960</v>
      </c>
      <c r="F977" s="609" t="s">
        <v>778</v>
      </c>
      <c r="G977" s="610"/>
      <c r="H977" s="610"/>
      <c r="I977" s="611" t="s">
        <v>44</v>
      </c>
      <c r="J977" s="616">
        <v>560</v>
      </c>
      <c r="K977" s="613">
        <v>560</v>
      </c>
      <c r="L977" s="616">
        <v>560</v>
      </c>
      <c r="M977" s="616">
        <v>560</v>
      </c>
      <c r="N977" s="614">
        <v>559.02231999999992</v>
      </c>
      <c r="O977" s="648"/>
      <c r="P977" s="648"/>
      <c r="R977" s="626"/>
      <c r="T977" s="633"/>
      <c r="U977" s="634"/>
    </row>
    <row r="978" spans="2:21" ht="19.149999999999999" customHeight="1">
      <c r="B978" s="606" t="s">
        <v>278</v>
      </c>
      <c r="C978" s="654">
        <v>5</v>
      </c>
      <c r="D978" s="607">
        <v>782</v>
      </c>
      <c r="E978" s="608">
        <v>817960</v>
      </c>
      <c r="F978" s="609" t="s">
        <v>1208</v>
      </c>
      <c r="G978" s="610"/>
      <c r="H978" s="610"/>
      <c r="I978" s="611" t="s">
        <v>44</v>
      </c>
      <c r="J978" s="616">
        <v>317</v>
      </c>
      <c r="K978" s="613">
        <v>317</v>
      </c>
      <c r="L978" s="616">
        <v>317</v>
      </c>
      <c r="M978" s="616">
        <v>317</v>
      </c>
      <c r="N978" s="614">
        <v>310.04689000000002</v>
      </c>
      <c r="O978" s="648"/>
      <c r="P978" s="648"/>
      <c r="R978" s="626"/>
      <c r="T978" s="633"/>
      <c r="U978" s="634"/>
    </row>
    <row r="979" spans="2:21" ht="19.149999999999999" customHeight="1">
      <c r="B979" s="606" t="s">
        <v>278</v>
      </c>
      <c r="C979" s="816">
        <v>5</v>
      </c>
      <c r="D979" s="607">
        <v>783</v>
      </c>
      <c r="E979" s="608">
        <v>817960</v>
      </c>
      <c r="F979" s="609" t="s">
        <v>1619</v>
      </c>
      <c r="G979" s="610"/>
      <c r="H979" s="610"/>
      <c r="I979" s="611" t="s">
        <v>44</v>
      </c>
      <c r="J979" s="616">
        <v>181</v>
      </c>
      <c r="K979" s="613">
        <v>181</v>
      </c>
      <c r="L979" s="616">
        <v>181</v>
      </c>
      <c r="M979" s="616">
        <v>181</v>
      </c>
      <c r="N979" s="614">
        <v>140.73732999999999</v>
      </c>
      <c r="O979" s="648"/>
      <c r="P979" s="648"/>
      <c r="R979" s="626"/>
      <c r="T979" s="633"/>
      <c r="U979" s="634"/>
    </row>
    <row r="980" spans="2:21" ht="28">
      <c r="B980" s="606" t="s">
        <v>278</v>
      </c>
      <c r="C980" s="816">
        <v>81</v>
      </c>
      <c r="D980" s="1090">
        <v>785</v>
      </c>
      <c r="E980" s="1091">
        <v>817960</v>
      </c>
      <c r="F980" s="1086" t="s">
        <v>2302</v>
      </c>
      <c r="G980" s="1085"/>
      <c r="H980" s="1085"/>
      <c r="I980" s="1092" t="s">
        <v>44</v>
      </c>
      <c r="J980" s="1093">
        <v>716</v>
      </c>
      <c r="K980" s="613">
        <v>600</v>
      </c>
      <c r="L980" s="616">
        <v>600</v>
      </c>
      <c r="M980" s="616">
        <v>0</v>
      </c>
      <c r="N980" s="614">
        <v>0</v>
      </c>
      <c r="O980" s="648"/>
      <c r="P980" s="648"/>
      <c r="R980" s="626"/>
      <c r="T980" s="633"/>
      <c r="U980" s="634"/>
    </row>
    <row r="981" spans="2:21" ht="19.149999999999999" customHeight="1">
      <c r="B981" s="606" t="s">
        <v>278</v>
      </c>
      <c r="C981" s="655">
        <v>81</v>
      </c>
      <c r="D981" s="615">
        <v>930</v>
      </c>
      <c r="E981" s="608">
        <v>817960</v>
      </c>
      <c r="F981" s="609" t="s">
        <v>96</v>
      </c>
      <c r="G981" s="610"/>
      <c r="H981" s="610"/>
      <c r="I981" s="611" t="s">
        <v>44</v>
      </c>
      <c r="J981" s="616">
        <v>652</v>
      </c>
      <c r="K981" s="613">
        <v>726</v>
      </c>
      <c r="L981" s="616">
        <v>726</v>
      </c>
      <c r="M981" s="616">
        <v>686</v>
      </c>
      <c r="N981" s="614">
        <v>335.97847999999999</v>
      </c>
      <c r="O981" s="648"/>
      <c r="P981" s="648"/>
      <c r="R981" s="626"/>
      <c r="T981" s="633"/>
      <c r="U981" s="634"/>
    </row>
    <row r="982" spans="2:21" ht="19.149999999999999" customHeight="1">
      <c r="B982" s="606" t="s">
        <v>278</v>
      </c>
      <c r="C982" s="655">
        <v>10</v>
      </c>
      <c r="D982" s="615">
        <v>931</v>
      </c>
      <c r="E982" s="608">
        <v>817960</v>
      </c>
      <c r="F982" s="609" t="s">
        <v>1304</v>
      </c>
      <c r="G982" s="610"/>
      <c r="H982" s="610"/>
      <c r="I982" s="611" t="s">
        <v>44</v>
      </c>
      <c r="J982" s="616">
        <v>190</v>
      </c>
      <c r="K982" s="613">
        <v>190</v>
      </c>
      <c r="L982" s="616">
        <v>205</v>
      </c>
      <c r="M982" s="616">
        <v>200</v>
      </c>
      <c r="N982" s="614">
        <v>199.72181</v>
      </c>
      <c r="O982" s="648"/>
      <c r="P982" s="648"/>
      <c r="R982" s="626"/>
      <c r="T982" s="633"/>
      <c r="U982" s="634"/>
    </row>
    <row r="983" spans="2:21" ht="19.149999999999999" customHeight="1">
      <c r="B983" s="606" t="s">
        <v>278</v>
      </c>
      <c r="C983" s="654">
        <v>81</v>
      </c>
      <c r="D983" s="607">
        <v>932</v>
      </c>
      <c r="E983" s="608">
        <v>817960</v>
      </c>
      <c r="F983" s="609" t="s">
        <v>588</v>
      </c>
      <c r="G983" s="610"/>
      <c r="H983" s="610"/>
      <c r="I983" s="611" t="s">
        <v>44</v>
      </c>
      <c r="J983" s="616">
        <v>34</v>
      </c>
      <c r="K983" s="613">
        <v>34</v>
      </c>
      <c r="L983" s="616">
        <v>34</v>
      </c>
      <c r="M983" s="616">
        <v>34</v>
      </c>
      <c r="N983" s="614">
        <v>11.96</v>
      </c>
      <c r="O983" s="648"/>
      <c r="P983" s="648"/>
      <c r="R983" s="626"/>
      <c r="T983" s="633"/>
      <c r="U983" s="634"/>
    </row>
    <row r="984" spans="2:21" ht="19.149999999999999" customHeight="1">
      <c r="B984" s="747"/>
      <c r="C984" s="656"/>
      <c r="D984" s="618"/>
      <c r="E984" s="619" t="s">
        <v>762</v>
      </c>
      <c r="F984" s="620" t="s">
        <v>429</v>
      </c>
      <c r="G984" s="621">
        <f>SUM(G962:G983)</f>
        <v>0</v>
      </c>
      <c r="H984" s="621">
        <f>SUM(H962:H983)</f>
        <v>0</v>
      </c>
      <c r="I984" s="622"/>
      <c r="J984" s="623">
        <f>SUM(J962:J983)</f>
        <v>7826</v>
      </c>
      <c r="K984" s="624">
        <f>SUM(K962:K983)</f>
        <v>7508</v>
      </c>
      <c r="L984" s="623">
        <f>SUM(L962:L983)</f>
        <v>7556</v>
      </c>
      <c r="M984" s="623">
        <f>SUM(M962:M983)</f>
        <v>7151</v>
      </c>
      <c r="N984" s="625">
        <f>SUM(N962:N983)</f>
        <v>6209.0506299999997</v>
      </c>
      <c r="O984" s="648"/>
      <c r="P984" s="648"/>
      <c r="R984" s="626"/>
      <c r="T984" s="633"/>
      <c r="U984" s="632"/>
    </row>
    <row r="985" spans="2:21" ht="19.149999999999999" customHeight="1">
      <c r="B985" s="704"/>
      <c r="C985" s="684"/>
      <c r="D985" s="705"/>
      <c r="E985" s="695" t="s">
        <v>1046</v>
      </c>
      <c r="F985" s="687" t="s">
        <v>453</v>
      </c>
      <c r="G985" s="706"/>
      <c r="H985" s="706"/>
      <c r="I985" s="707"/>
      <c r="J985" s="690"/>
      <c r="K985" s="693"/>
      <c r="L985" s="690"/>
      <c r="M985" s="690"/>
      <c r="N985" s="708"/>
      <c r="O985" s="648"/>
      <c r="P985" s="648"/>
      <c r="R985" s="626"/>
      <c r="T985" s="633"/>
      <c r="U985" s="632"/>
    </row>
    <row r="986" spans="2:21" ht="19.149999999999999" customHeight="1">
      <c r="B986" s="606" t="s">
        <v>453</v>
      </c>
      <c r="C986" s="654">
        <v>81</v>
      </c>
      <c r="D986" s="607">
        <v>100</v>
      </c>
      <c r="E986" s="608">
        <v>817970</v>
      </c>
      <c r="F986" s="710" t="s">
        <v>848</v>
      </c>
      <c r="G986" s="610">
        <v>4.5</v>
      </c>
      <c r="H986" s="610">
        <v>4.5</v>
      </c>
      <c r="I986" s="611" t="s">
        <v>669</v>
      </c>
      <c r="J986" s="616">
        <v>1043</v>
      </c>
      <c r="K986" s="613">
        <v>1020</v>
      </c>
      <c r="L986" s="616">
        <v>1003</v>
      </c>
      <c r="M986" s="616">
        <v>1003</v>
      </c>
      <c r="N986" s="614">
        <v>980.45541000000003</v>
      </c>
      <c r="O986" s="648"/>
      <c r="P986" s="648"/>
      <c r="R986" s="626"/>
      <c r="T986" s="633"/>
      <c r="U986" s="634"/>
    </row>
    <row r="987" spans="2:21" ht="19.149999999999999" customHeight="1">
      <c r="B987" s="606" t="s">
        <v>453</v>
      </c>
      <c r="C987" s="654">
        <v>81</v>
      </c>
      <c r="D987" s="607">
        <v>430</v>
      </c>
      <c r="E987" s="608">
        <v>817970</v>
      </c>
      <c r="F987" s="710" t="s">
        <v>192</v>
      </c>
      <c r="G987" s="610"/>
      <c r="H987" s="610"/>
      <c r="I987" s="611" t="s">
        <v>175</v>
      </c>
      <c r="J987" s="616">
        <v>8</v>
      </c>
      <c r="K987" s="613">
        <v>8</v>
      </c>
      <c r="L987" s="616">
        <v>8</v>
      </c>
      <c r="M987" s="616">
        <v>8</v>
      </c>
      <c r="N987" s="614">
        <v>7.0148299999999999</v>
      </c>
      <c r="O987" s="648"/>
      <c r="P987" s="648"/>
      <c r="R987" s="626"/>
      <c r="T987" s="633"/>
      <c r="U987" s="634"/>
    </row>
    <row r="988" spans="2:21" ht="19.149999999999999" customHeight="1">
      <c r="B988" s="606" t="s">
        <v>453</v>
      </c>
      <c r="C988" s="654">
        <v>81</v>
      </c>
      <c r="D988" s="607">
        <v>432</v>
      </c>
      <c r="E988" s="608">
        <v>817970</v>
      </c>
      <c r="F988" s="710" t="s">
        <v>103</v>
      </c>
      <c r="G988" s="610"/>
      <c r="H988" s="610"/>
      <c r="I988" s="611" t="s">
        <v>175</v>
      </c>
      <c r="J988" s="616">
        <v>3</v>
      </c>
      <c r="K988" s="613">
        <v>3</v>
      </c>
      <c r="L988" s="616">
        <v>3</v>
      </c>
      <c r="M988" s="616">
        <v>3</v>
      </c>
      <c r="N988" s="614">
        <v>0</v>
      </c>
      <c r="O988" s="648"/>
      <c r="P988" s="648"/>
      <c r="R988" s="626"/>
      <c r="T988" s="633"/>
      <c r="U988" s="634"/>
    </row>
    <row r="989" spans="2:21" ht="19.149999999999999" customHeight="1">
      <c r="B989" s="606" t="s">
        <v>453</v>
      </c>
      <c r="C989" s="654">
        <v>10</v>
      </c>
      <c r="D989" s="607">
        <v>540</v>
      </c>
      <c r="E989" s="608">
        <v>817970</v>
      </c>
      <c r="F989" s="609" t="s">
        <v>1648</v>
      </c>
      <c r="G989" s="610"/>
      <c r="H989" s="610"/>
      <c r="I989" s="611" t="s">
        <v>175</v>
      </c>
      <c r="J989" s="612">
        <v>10</v>
      </c>
      <c r="K989" s="817">
        <v>10</v>
      </c>
      <c r="L989" s="612">
        <v>10</v>
      </c>
      <c r="M989" s="612">
        <v>10</v>
      </c>
      <c r="N989" s="614">
        <v>9.1895100000000003</v>
      </c>
      <c r="O989" s="648"/>
      <c r="P989" s="648"/>
      <c r="R989" s="626"/>
      <c r="T989" s="633"/>
      <c r="U989" s="635"/>
    </row>
    <row r="990" spans="2:21" ht="19.149999999999999" customHeight="1">
      <c r="B990" s="606" t="s">
        <v>453</v>
      </c>
      <c r="C990" s="816">
        <v>12</v>
      </c>
      <c r="D990" s="607">
        <v>550</v>
      </c>
      <c r="E990" s="608">
        <v>817970</v>
      </c>
      <c r="F990" s="609" t="s">
        <v>607</v>
      </c>
      <c r="G990" s="610"/>
      <c r="H990" s="610"/>
      <c r="I990" s="611" t="s">
        <v>44</v>
      </c>
      <c r="J990" s="616">
        <v>2</v>
      </c>
      <c r="K990" s="613">
        <v>0</v>
      </c>
      <c r="L990" s="616">
        <v>2</v>
      </c>
      <c r="M990" s="616">
        <v>2</v>
      </c>
      <c r="N990" s="614">
        <v>0</v>
      </c>
      <c r="O990" s="648"/>
      <c r="P990" s="648"/>
      <c r="R990" s="626"/>
      <c r="T990" s="633"/>
      <c r="U990" s="634"/>
    </row>
    <row r="991" spans="2:21" ht="28">
      <c r="B991" s="606" t="s">
        <v>453</v>
      </c>
      <c r="C991" s="816">
        <v>5</v>
      </c>
      <c r="D991" s="607">
        <v>750</v>
      </c>
      <c r="E991" s="608">
        <v>817970</v>
      </c>
      <c r="F991" s="609" t="s">
        <v>2311</v>
      </c>
      <c r="G991" s="610"/>
      <c r="H991" s="610"/>
      <c r="I991" s="611" t="s">
        <v>175</v>
      </c>
      <c r="J991" s="616">
        <f>15+38</f>
        <v>53</v>
      </c>
      <c r="K991" s="613">
        <v>15</v>
      </c>
      <c r="L991" s="616">
        <v>15</v>
      </c>
      <c r="M991" s="616">
        <v>15</v>
      </c>
      <c r="N991" s="614">
        <v>14.23136</v>
      </c>
      <c r="O991" s="648"/>
      <c r="P991" s="648"/>
      <c r="R991" s="626"/>
      <c r="T991" s="633"/>
      <c r="U991" s="634"/>
    </row>
    <row r="992" spans="2:21" ht="19.149999999999999" customHeight="1">
      <c r="B992" s="606" t="s">
        <v>453</v>
      </c>
      <c r="C992" s="655">
        <v>81</v>
      </c>
      <c r="D992" s="615">
        <v>780</v>
      </c>
      <c r="E992" s="608">
        <v>817970</v>
      </c>
      <c r="F992" s="609" t="s">
        <v>610</v>
      </c>
      <c r="G992" s="610"/>
      <c r="H992" s="610"/>
      <c r="I992" s="611" t="s">
        <v>44</v>
      </c>
      <c r="J992" s="616">
        <v>72</v>
      </c>
      <c r="K992" s="613">
        <v>76</v>
      </c>
      <c r="L992" s="616">
        <v>76</v>
      </c>
      <c r="M992" s="616">
        <v>80</v>
      </c>
      <c r="N992" s="614">
        <v>78.128029999999995</v>
      </c>
      <c r="O992" s="648"/>
      <c r="P992" s="648"/>
      <c r="R992" s="626"/>
      <c r="T992" s="633"/>
      <c r="U992" s="634"/>
    </row>
    <row r="993" spans="2:25" ht="19.149999999999999" customHeight="1">
      <c r="B993" s="747"/>
      <c r="C993" s="656"/>
      <c r="D993" s="618"/>
      <c r="E993" s="619" t="s">
        <v>1046</v>
      </c>
      <c r="F993" s="620" t="s">
        <v>1039</v>
      </c>
      <c r="G993" s="621">
        <f>SUM(G986:G992)</f>
        <v>4.5</v>
      </c>
      <c r="H993" s="621">
        <f>SUM(H986:H992)</f>
        <v>4.5</v>
      </c>
      <c r="I993" s="622"/>
      <c r="J993" s="623">
        <f>SUM(J986:J992)</f>
        <v>1191</v>
      </c>
      <c r="K993" s="624">
        <f>SUM(K986:K992)</f>
        <v>1132</v>
      </c>
      <c r="L993" s="623">
        <f>SUM(L986:L992)</f>
        <v>1117</v>
      </c>
      <c r="M993" s="623">
        <f>SUM(M986:M992)</f>
        <v>1121</v>
      </c>
      <c r="N993" s="625">
        <f>SUM(N986:N992)</f>
        <v>1089.0191400000001</v>
      </c>
      <c r="O993" s="648"/>
      <c r="P993" s="648"/>
      <c r="R993" s="626"/>
      <c r="T993" s="633"/>
      <c r="U993" s="632"/>
    </row>
    <row r="994" spans="2:25" ht="28">
      <c r="B994" s="704"/>
      <c r="C994" s="684"/>
      <c r="D994" s="705"/>
      <c r="E994" s="695" t="s">
        <v>23</v>
      </c>
      <c r="F994" s="751" t="s">
        <v>24</v>
      </c>
      <c r="G994" s="706"/>
      <c r="H994" s="706"/>
      <c r="I994" s="707"/>
      <c r="J994" s="690"/>
      <c r="K994" s="693"/>
      <c r="L994" s="690"/>
      <c r="M994" s="690"/>
      <c r="N994" s="708"/>
      <c r="O994" s="648"/>
      <c r="P994" s="648"/>
      <c r="R994" s="626"/>
      <c r="T994" s="633"/>
      <c r="U994" s="632"/>
    </row>
    <row r="995" spans="2:25" ht="19.149999999999999" customHeight="1">
      <c r="B995" s="606" t="s">
        <v>672</v>
      </c>
      <c r="C995" s="654">
        <v>10</v>
      </c>
      <c r="D995" s="607">
        <v>540</v>
      </c>
      <c r="E995" s="608">
        <v>818000</v>
      </c>
      <c r="F995" s="609" t="s">
        <v>1648</v>
      </c>
      <c r="G995" s="610"/>
      <c r="H995" s="610"/>
      <c r="I995" s="611" t="s">
        <v>175</v>
      </c>
      <c r="J995" s="616">
        <v>3</v>
      </c>
      <c r="K995" s="613">
        <v>3</v>
      </c>
      <c r="L995" s="616">
        <v>3</v>
      </c>
      <c r="M995" s="616">
        <v>3</v>
      </c>
      <c r="N995" s="614">
        <v>2.3965000000000001</v>
      </c>
      <c r="O995" s="648"/>
      <c r="P995" s="648"/>
      <c r="R995" s="626"/>
      <c r="T995" s="633"/>
      <c r="U995" s="634"/>
    </row>
    <row r="996" spans="2:25" ht="14">
      <c r="B996" s="606" t="s">
        <v>672</v>
      </c>
      <c r="C996" s="654">
        <v>12</v>
      </c>
      <c r="D996" s="607">
        <v>550</v>
      </c>
      <c r="E996" s="608">
        <v>818000</v>
      </c>
      <c r="F996" s="609" t="s">
        <v>607</v>
      </c>
      <c r="G996" s="610"/>
      <c r="H996" s="610"/>
      <c r="I996" s="611" t="s">
        <v>44</v>
      </c>
      <c r="J996" s="616">
        <v>5</v>
      </c>
      <c r="K996" s="613">
        <v>5</v>
      </c>
      <c r="L996" s="616">
        <v>5</v>
      </c>
      <c r="M996" s="616">
        <v>5</v>
      </c>
      <c r="N996" s="614">
        <v>5</v>
      </c>
      <c r="O996" s="648"/>
      <c r="P996" s="648"/>
      <c r="R996" s="626"/>
      <c r="T996" s="633"/>
      <c r="U996" s="634"/>
    </row>
    <row r="997" spans="2:25" ht="28">
      <c r="B997" s="606" t="s">
        <v>672</v>
      </c>
      <c r="C997" s="654">
        <v>82</v>
      </c>
      <c r="D997" s="607">
        <v>870</v>
      </c>
      <c r="E997" s="608">
        <v>818000</v>
      </c>
      <c r="F997" s="701" t="s">
        <v>2062</v>
      </c>
      <c r="G997" s="610"/>
      <c r="H997" s="610"/>
      <c r="I997" s="611" t="s">
        <v>175</v>
      </c>
      <c r="J997" s="616">
        <v>118</v>
      </c>
      <c r="K997" s="613">
        <v>118</v>
      </c>
      <c r="L997" s="616">
        <v>118</v>
      </c>
      <c r="M997" s="616">
        <v>118</v>
      </c>
      <c r="N997" s="614">
        <v>118</v>
      </c>
      <c r="O997" s="648"/>
      <c r="P997" s="648"/>
      <c r="R997" s="626"/>
      <c r="T997" s="633"/>
      <c r="U997" s="634"/>
    </row>
    <row r="998" spans="2:25" ht="19.149999999999999" customHeight="1">
      <c r="B998" s="606" t="s">
        <v>672</v>
      </c>
      <c r="C998" s="654">
        <v>82</v>
      </c>
      <c r="D998" s="607">
        <v>871</v>
      </c>
      <c r="E998" s="608">
        <v>818000</v>
      </c>
      <c r="F998" s="609" t="s">
        <v>1900</v>
      </c>
      <c r="G998" s="610"/>
      <c r="H998" s="610"/>
      <c r="I998" s="611" t="s">
        <v>44</v>
      </c>
      <c r="J998" s="616">
        <v>67</v>
      </c>
      <c r="K998" s="613">
        <v>67</v>
      </c>
      <c r="L998" s="616">
        <v>67</v>
      </c>
      <c r="M998" s="616">
        <v>67</v>
      </c>
      <c r="N998" s="614">
        <v>67</v>
      </c>
      <c r="O998" s="648"/>
      <c r="P998" s="648"/>
      <c r="R998" s="626"/>
      <c r="T998" s="633"/>
      <c r="U998" s="634"/>
    </row>
    <row r="999" spans="2:25" ht="28">
      <c r="B999" s="606" t="s">
        <v>672</v>
      </c>
      <c r="C999" s="654">
        <v>82</v>
      </c>
      <c r="D999" s="607">
        <v>872</v>
      </c>
      <c r="E999" s="608">
        <v>818000</v>
      </c>
      <c r="F999" s="609" t="s">
        <v>2063</v>
      </c>
      <c r="G999" s="610"/>
      <c r="H999" s="610"/>
      <c r="I999" s="611" t="s">
        <v>175</v>
      </c>
      <c r="J999" s="616">
        <v>63</v>
      </c>
      <c r="K999" s="613">
        <v>63</v>
      </c>
      <c r="L999" s="616">
        <v>63</v>
      </c>
      <c r="M999" s="616">
        <v>63</v>
      </c>
      <c r="N999" s="614">
        <v>63</v>
      </c>
      <c r="O999" s="648"/>
      <c r="P999" s="648"/>
      <c r="R999" s="626"/>
      <c r="T999" s="633"/>
      <c r="U999" s="634"/>
    </row>
    <row r="1000" spans="2:25" ht="19.149999999999999" customHeight="1">
      <c r="B1000" s="617"/>
      <c r="C1000" s="656"/>
      <c r="D1000" s="618"/>
      <c r="E1000" s="619" t="s">
        <v>23</v>
      </c>
      <c r="F1000" s="620" t="s">
        <v>368</v>
      </c>
      <c r="G1000" s="818">
        <f>SUM(G995:G996)</f>
        <v>0</v>
      </c>
      <c r="H1000" s="818">
        <f>SUM(H995:H996)</f>
        <v>0</v>
      </c>
      <c r="I1000" s="743"/>
      <c r="J1000" s="744">
        <f>SUM(J995:J999)</f>
        <v>256</v>
      </c>
      <c r="K1000" s="745">
        <f>SUM(K995:K999)</f>
        <v>256</v>
      </c>
      <c r="L1000" s="744">
        <f>SUM(L995:L999)</f>
        <v>256</v>
      </c>
      <c r="M1000" s="744">
        <f>SUM(M995:M999)</f>
        <v>256</v>
      </c>
      <c r="N1000" s="746">
        <f>SUM(N995:N999)</f>
        <v>255.3965</v>
      </c>
      <c r="O1000" s="648"/>
      <c r="P1000" s="648"/>
      <c r="R1000" s="626"/>
      <c r="T1000" s="633"/>
      <c r="U1000" s="637"/>
    </row>
    <row r="1001" spans="2:25" ht="19.149999999999999" customHeight="1">
      <c r="B1001" s="747"/>
      <c r="C1001" s="656"/>
      <c r="D1001" s="618"/>
      <c r="E1001" s="619" t="s">
        <v>1018</v>
      </c>
      <c r="F1001" s="620" t="s">
        <v>369</v>
      </c>
      <c r="G1001" s="621">
        <f>SUMIF($E$613:$E$1000,"*.",G613:G1000)</f>
        <v>1531.95</v>
      </c>
      <c r="H1001" s="621">
        <f>SUMIF($E$613:$E$1000,"*.",H613:H1000)</f>
        <v>1368.970233333333</v>
      </c>
      <c r="I1001" s="622"/>
      <c r="J1001" s="623">
        <f>SUMIF($E$613:$E$1000,"*.",J613:J1000)</f>
        <v>370306</v>
      </c>
      <c r="K1001" s="624">
        <f>SUMIF($E$613:$E$1000,"*.",K613:K1000)</f>
        <v>345303</v>
      </c>
      <c r="L1001" s="623">
        <f>SUMIF($E$613:$E$1000,"*.",L613:L1000)</f>
        <v>355816</v>
      </c>
      <c r="M1001" s="623">
        <f>SUMIF($E$613:$E$1000,"*.",M613:M1000)</f>
        <v>347886</v>
      </c>
      <c r="N1001" s="625">
        <f>SUMIF($E$613:$E$1000,"*.",N613:N1000)</f>
        <v>315842.06324999989</v>
      </c>
      <c r="O1001" s="648"/>
      <c r="P1001" s="648"/>
      <c r="R1001" s="626"/>
      <c r="T1001" s="633"/>
      <c r="U1001" s="632"/>
    </row>
    <row r="1002" spans="2:25" ht="19.149999999999999" customHeight="1">
      <c r="B1002" s="704"/>
      <c r="C1002" s="684"/>
      <c r="D1002" s="705"/>
      <c r="E1002" s="695" t="s">
        <v>25</v>
      </c>
      <c r="F1002" s="687" t="s">
        <v>371</v>
      </c>
      <c r="G1002" s="706"/>
      <c r="H1002" s="706"/>
      <c r="I1002" s="707"/>
      <c r="J1002" s="690"/>
      <c r="K1002" s="693"/>
      <c r="L1002" s="690"/>
      <c r="M1002" s="690"/>
      <c r="N1002" s="708"/>
      <c r="O1002" s="648"/>
      <c r="P1002" s="648"/>
      <c r="R1002" s="626"/>
      <c r="T1002" s="633"/>
      <c r="U1002" s="632"/>
    </row>
    <row r="1003" spans="2:25" ht="19.149999999999999" customHeight="1">
      <c r="B1003" s="704"/>
      <c r="C1003" s="684"/>
      <c r="D1003" s="705"/>
      <c r="E1003" s="695" t="s">
        <v>26</v>
      </c>
      <c r="F1003" s="687" t="s">
        <v>83</v>
      </c>
      <c r="G1003" s="706"/>
      <c r="H1003" s="706"/>
      <c r="I1003" s="707"/>
      <c r="J1003" s="690"/>
      <c r="K1003" s="693"/>
      <c r="L1003" s="690"/>
      <c r="M1003" s="690"/>
      <c r="N1003" s="708"/>
      <c r="O1003" s="648"/>
      <c r="P1003" s="648"/>
      <c r="R1003" s="626"/>
      <c r="T1003" s="633"/>
      <c r="U1003" s="632"/>
    </row>
    <row r="1004" spans="2:25" ht="19.149999999999999" customHeight="1">
      <c r="B1004" s="606" t="s">
        <v>83</v>
      </c>
      <c r="C1004" s="655">
        <v>82</v>
      </c>
      <c r="D1004" s="615">
        <v>100</v>
      </c>
      <c r="E1004" s="608">
        <v>821000</v>
      </c>
      <c r="F1004" s="609" t="s">
        <v>1058</v>
      </c>
      <c r="G1004" s="610">
        <v>2</v>
      </c>
      <c r="H1004" s="610">
        <v>1.5</v>
      </c>
      <c r="I1004" s="611" t="s">
        <v>669</v>
      </c>
      <c r="J1004" s="616">
        <f>760-60-150</f>
        <v>550</v>
      </c>
      <c r="K1004" s="613">
        <v>213</v>
      </c>
      <c r="L1004" s="616">
        <v>213</v>
      </c>
      <c r="M1004" s="616">
        <v>747</v>
      </c>
      <c r="N1004" s="614">
        <v>193.88213000000002</v>
      </c>
      <c r="O1004" s="648"/>
      <c r="P1004" s="648"/>
      <c r="R1004" s="626"/>
      <c r="T1004" s="633"/>
      <c r="U1004" s="634"/>
      <c r="Y1004" s="657"/>
    </row>
    <row r="1005" spans="2:25" ht="19.149999999999999" customHeight="1">
      <c r="B1005" s="606" t="s">
        <v>83</v>
      </c>
      <c r="C1005" s="655">
        <v>82</v>
      </c>
      <c r="D1005" s="615">
        <v>102</v>
      </c>
      <c r="E1005" s="608">
        <v>821000</v>
      </c>
      <c r="F1005" s="609" t="s">
        <v>1260</v>
      </c>
      <c r="G1005" s="610">
        <v>2.5</v>
      </c>
      <c r="H1005" s="610">
        <v>2.5</v>
      </c>
      <c r="I1005" s="611" t="s">
        <v>669</v>
      </c>
      <c r="J1005" s="616">
        <v>500</v>
      </c>
      <c r="K1005" s="613">
        <v>489</v>
      </c>
      <c r="L1005" s="616">
        <v>489</v>
      </c>
      <c r="M1005" s="616">
        <v>498</v>
      </c>
      <c r="N1005" s="614">
        <v>459.93590999999998</v>
      </c>
      <c r="O1005" s="648"/>
      <c r="P1005" s="648"/>
      <c r="R1005" s="626"/>
      <c r="T1005" s="633"/>
      <c r="U1005" s="634"/>
    </row>
    <row r="1006" spans="2:25" ht="19.149999999999999" customHeight="1">
      <c r="B1006" s="606" t="s">
        <v>83</v>
      </c>
      <c r="C1006" s="654">
        <v>82</v>
      </c>
      <c r="D1006" s="607">
        <v>470</v>
      </c>
      <c r="E1006" s="608">
        <v>821000</v>
      </c>
      <c r="F1006" s="703" t="s">
        <v>286</v>
      </c>
      <c r="G1006" s="610"/>
      <c r="H1006" s="610"/>
      <c r="I1006" s="611" t="s">
        <v>44</v>
      </c>
      <c r="J1006" s="616">
        <v>40</v>
      </c>
      <c r="K1006" s="613">
        <v>40</v>
      </c>
      <c r="L1006" s="616">
        <v>40</v>
      </c>
      <c r="M1006" s="616">
        <v>40</v>
      </c>
      <c r="N1006" s="614">
        <v>27.206479999999999</v>
      </c>
      <c r="O1006" s="648"/>
      <c r="P1006" s="648"/>
      <c r="R1006" s="626"/>
      <c r="T1006" s="633"/>
      <c r="U1006" s="634"/>
    </row>
    <row r="1007" spans="2:25" ht="19.149999999999999" customHeight="1">
      <c r="B1007" s="606" t="s">
        <v>83</v>
      </c>
      <c r="C1007" s="654">
        <v>82</v>
      </c>
      <c r="D1007" s="607">
        <v>511</v>
      </c>
      <c r="E1007" s="608">
        <v>821000</v>
      </c>
      <c r="F1007" s="703" t="s">
        <v>1683</v>
      </c>
      <c r="G1007" s="610"/>
      <c r="H1007" s="610"/>
      <c r="I1007" s="611" t="s">
        <v>44</v>
      </c>
      <c r="J1007" s="616">
        <v>54</v>
      </c>
      <c r="K1007" s="613">
        <v>54</v>
      </c>
      <c r="L1007" s="616">
        <v>54</v>
      </c>
      <c r="M1007" s="616">
        <v>54</v>
      </c>
      <c r="N1007" s="614">
        <v>44.993660000000006</v>
      </c>
      <c r="O1007" s="648"/>
      <c r="P1007" s="648"/>
      <c r="R1007" s="626"/>
      <c r="T1007" s="633"/>
      <c r="U1007" s="634"/>
    </row>
    <row r="1008" spans="2:25" ht="19.149999999999999" customHeight="1">
      <c r="B1008" s="606" t="s">
        <v>83</v>
      </c>
      <c r="C1008" s="654">
        <v>10</v>
      </c>
      <c r="D1008" s="607">
        <v>540</v>
      </c>
      <c r="E1008" s="608">
        <v>821000</v>
      </c>
      <c r="F1008" s="609" t="s">
        <v>1649</v>
      </c>
      <c r="G1008" s="610"/>
      <c r="H1008" s="610"/>
      <c r="I1008" s="611" t="s">
        <v>175</v>
      </c>
      <c r="J1008" s="616">
        <v>31</v>
      </c>
      <c r="K1008" s="613">
        <v>29</v>
      </c>
      <c r="L1008" s="616">
        <v>29</v>
      </c>
      <c r="M1008" s="616">
        <v>21</v>
      </c>
      <c r="N1008" s="614">
        <v>22.937380000000001</v>
      </c>
      <c r="O1008" s="648"/>
      <c r="P1008" s="648"/>
      <c r="R1008" s="626"/>
      <c r="T1008" s="633"/>
      <c r="U1008" s="634"/>
    </row>
    <row r="1009" spans="2:25" ht="19.149999999999999" customHeight="1">
      <c r="B1009" s="606" t="s">
        <v>83</v>
      </c>
      <c r="C1009" s="654">
        <v>82</v>
      </c>
      <c r="D1009" s="607">
        <v>562</v>
      </c>
      <c r="E1009" s="608">
        <v>821000</v>
      </c>
      <c r="F1009" s="609" t="s">
        <v>1680</v>
      </c>
      <c r="G1009" s="610"/>
      <c r="H1009" s="610"/>
      <c r="I1009" s="611" t="s">
        <v>44</v>
      </c>
      <c r="J1009" s="616">
        <v>3</v>
      </c>
      <c r="K1009" s="613">
        <v>3</v>
      </c>
      <c r="L1009" s="616">
        <v>3</v>
      </c>
      <c r="M1009" s="616">
        <v>3</v>
      </c>
      <c r="N1009" s="614">
        <v>2.875</v>
      </c>
      <c r="O1009" s="648"/>
      <c r="P1009" s="648"/>
      <c r="R1009" s="626"/>
      <c r="T1009" s="633"/>
      <c r="U1009" s="634"/>
    </row>
    <row r="1010" spans="2:25" ht="19.149999999999999" customHeight="1">
      <c r="B1010" s="606" t="s">
        <v>83</v>
      </c>
      <c r="C1010" s="655">
        <v>82</v>
      </c>
      <c r="D1010" s="615">
        <v>755</v>
      </c>
      <c r="E1010" s="608">
        <v>821000</v>
      </c>
      <c r="F1010" s="609" t="s">
        <v>616</v>
      </c>
      <c r="G1010" s="610"/>
      <c r="H1010" s="610"/>
      <c r="I1010" s="611" t="s">
        <v>44</v>
      </c>
      <c r="J1010" s="616">
        <v>30</v>
      </c>
      <c r="K1010" s="613">
        <v>0</v>
      </c>
      <c r="L1010" s="616">
        <v>20</v>
      </c>
      <c r="M1010" s="616">
        <v>30</v>
      </c>
      <c r="N1010" s="614">
        <v>8.202</v>
      </c>
      <c r="O1010" s="648"/>
      <c r="P1010" s="648"/>
      <c r="R1010" s="626"/>
      <c r="T1010" s="633"/>
      <c r="U1010" s="634"/>
    </row>
    <row r="1011" spans="2:25" ht="19.149999999999999" customHeight="1">
      <c r="B1011" s="606" t="s">
        <v>83</v>
      </c>
      <c r="C1011" s="654">
        <v>82</v>
      </c>
      <c r="D1011" s="607">
        <v>930</v>
      </c>
      <c r="E1011" s="608">
        <v>821000</v>
      </c>
      <c r="F1011" s="609" t="s">
        <v>1901</v>
      </c>
      <c r="G1011" s="610"/>
      <c r="H1011" s="610"/>
      <c r="I1011" s="611" t="s">
        <v>44</v>
      </c>
      <c r="J1011" s="616">
        <v>69</v>
      </c>
      <c r="K1011" s="613">
        <v>69</v>
      </c>
      <c r="L1011" s="616">
        <v>69</v>
      </c>
      <c r="M1011" s="616">
        <v>69</v>
      </c>
      <c r="N1011" s="614">
        <v>67.478929999999991</v>
      </c>
      <c r="O1011" s="648"/>
      <c r="P1011" s="648"/>
      <c r="R1011" s="626"/>
      <c r="T1011" s="633"/>
      <c r="U1011" s="634"/>
    </row>
    <row r="1012" spans="2:25" ht="29.15" customHeight="1">
      <c r="B1012" s="747"/>
      <c r="C1012" s="656"/>
      <c r="D1012" s="618"/>
      <c r="E1012" s="619" t="s">
        <v>26</v>
      </c>
      <c r="F1012" s="620" t="s">
        <v>462</v>
      </c>
      <c r="G1012" s="621">
        <f>SUM(G1004:G1010)</f>
        <v>4.5</v>
      </c>
      <c r="H1012" s="621">
        <f>SUM(H1004:H1010)</f>
        <v>4</v>
      </c>
      <c r="I1012" s="622"/>
      <c r="J1012" s="623">
        <f>SUM(J1004:J1011)</f>
        <v>1277</v>
      </c>
      <c r="K1012" s="624">
        <f>SUM(K1004:K1011)</f>
        <v>897</v>
      </c>
      <c r="L1012" s="623">
        <f>SUM(L1004:L1011)</f>
        <v>917</v>
      </c>
      <c r="M1012" s="623">
        <f>SUM(M1004:M1011)</f>
        <v>1462</v>
      </c>
      <c r="N1012" s="625">
        <f>SUM(N1004:N1011)</f>
        <v>827.51148999999987</v>
      </c>
      <c r="O1012" s="648"/>
      <c r="P1012" s="648"/>
      <c r="R1012" s="626"/>
      <c r="T1012" s="633"/>
      <c r="U1012" s="632"/>
    </row>
    <row r="1013" spans="2:25" ht="19.149999999999999" customHeight="1">
      <c r="B1013" s="704"/>
      <c r="C1013" s="684"/>
      <c r="D1013" s="705"/>
      <c r="E1013" s="695" t="s">
        <v>463</v>
      </c>
      <c r="F1013" s="687" t="s">
        <v>629</v>
      </c>
      <c r="G1013" s="706"/>
      <c r="H1013" s="706"/>
      <c r="I1013" s="707"/>
      <c r="J1013" s="690"/>
      <c r="K1013" s="693"/>
      <c r="L1013" s="690"/>
      <c r="M1013" s="690"/>
      <c r="N1013" s="708"/>
      <c r="O1013" s="648"/>
      <c r="P1013" s="648"/>
      <c r="R1013" s="626"/>
      <c r="T1013" s="633"/>
      <c r="U1013" s="632"/>
    </row>
    <row r="1014" spans="2:25" ht="19.149999999999999" customHeight="1">
      <c r="B1014" s="606" t="s">
        <v>629</v>
      </c>
      <c r="C1014" s="655">
        <v>82</v>
      </c>
      <c r="D1014" s="615">
        <v>100</v>
      </c>
      <c r="E1014" s="608">
        <v>822000</v>
      </c>
      <c r="F1014" s="609" t="s">
        <v>848</v>
      </c>
      <c r="G1014" s="610">
        <v>4</v>
      </c>
      <c r="H1014" s="610">
        <v>5</v>
      </c>
      <c r="I1014" s="611" t="s">
        <v>669</v>
      </c>
      <c r="J1014" s="616">
        <f>1010-308</f>
        <v>702</v>
      </c>
      <c r="K1014" s="613">
        <v>960</v>
      </c>
      <c r="L1014" s="616">
        <v>1034</v>
      </c>
      <c r="M1014" s="616">
        <v>1055</v>
      </c>
      <c r="N1014" s="614">
        <v>956.07902999999999</v>
      </c>
      <c r="O1014" s="648"/>
      <c r="P1014" s="648"/>
      <c r="R1014" s="626"/>
      <c r="T1014" s="633"/>
      <c r="U1014" s="634"/>
      <c r="Y1014" s="657"/>
    </row>
    <row r="1015" spans="2:25" ht="29.15" customHeight="1">
      <c r="B1015" s="606" t="s">
        <v>629</v>
      </c>
      <c r="C1015" s="654">
        <v>5</v>
      </c>
      <c r="D1015" s="607">
        <v>420</v>
      </c>
      <c r="E1015" s="608">
        <v>822000</v>
      </c>
      <c r="F1015" s="609" t="s">
        <v>1835</v>
      </c>
      <c r="G1015" s="610"/>
      <c r="H1015" s="610"/>
      <c r="I1015" s="611" t="s">
        <v>44</v>
      </c>
      <c r="J1015" s="616">
        <v>26</v>
      </c>
      <c r="K1015" s="613">
        <v>26</v>
      </c>
      <c r="L1015" s="616">
        <v>26</v>
      </c>
      <c r="M1015" s="616">
        <v>26</v>
      </c>
      <c r="N1015" s="614">
        <v>25.859779999999997</v>
      </c>
      <c r="O1015" s="648"/>
      <c r="P1015" s="648"/>
      <c r="R1015" s="626"/>
      <c r="T1015" s="633"/>
      <c r="U1015" s="634"/>
    </row>
    <row r="1016" spans="2:25" ht="19.149999999999999" customHeight="1">
      <c r="B1016" s="606" t="s">
        <v>629</v>
      </c>
      <c r="C1016" s="655">
        <v>12</v>
      </c>
      <c r="D1016" s="615">
        <v>550</v>
      </c>
      <c r="E1016" s="608">
        <v>822000</v>
      </c>
      <c r="F1016" s="609" t="s">
        <v>454</v>
      </c>
      <c r="G1016" s="610"/>
      <c r="H1016" s="610"/>
      <c r="I1016" s="611" t="s">
        <v>44</v>
      </c>
      <c r="J1016" s="616">
        <f>216-43</f>
        <v>173</v>
      </c>
      <c r="K1016" s="613">
        <v>160</v>
      </c>
      <c r="L1016" s="616">
        <v>192</v>
      </c>
      <c r="M1016" s="616">
        <v>232</v>
      </c>
      <c r="N1016" s="614">
        <v>211.56025</v>
      </c>
      <c r="O1016" s="648"/>
      <c r="P1016" s="648"/>
      <c r="R1016" s="626"/>
      <c r="T1016" s="633"/>
      <c r="U1016" s="634"/>
    </row>
    <row r="1017" spans="2:25" ht="19.149999999999999" customHeight="1">
      <c r="B1017" s="606" t="s">
        <v>629</v>
      </c>
      <c r="C1017" s="654">
        <v>12</v>
      </c>
      <c r="D1017" s="607">
        <v>551</v>
      </c>
      <c r="E1017" s="608">
        <v>822000</v>
      </c>
      <c r="F1017" s="609" t="s">
        <v>1418</v>
      </c>
      <c r="G1017" s="610"/>
      <c r="H1017" s="610"/>
      <c r="I1017" s="611" t="s">
        <v>44</v>
      </c>
      <c r="J1017" s="616">
        <f>96-19</f>
        <v>77</v>
      </c>
      <c r="K1017" s="613">
        <v>96</v>
      </c>
      <c r="L1017" s="616">
        <v>96</v>
      </c>
      <c r="M1017" s="616">
        <v>96</v>
      </c>
      <c r="N1017" s="614">
        <v>94.847899999999996</v>
      </c>
      <c r="O1017" s="648"/>
      <c r="P1017" s="648"/>
      <c r="R1017" s="626"/>
      <c r="T1017" s="633"/>
      <c r="U1017" s="634"/>
    </row>
    <row r="1018" spans="2:25" ht="28">
      <c r="B1018" s="606" t="s">
        <v>629</v>
      </c>
      <c r="C1018" s="654">
        <v>82</v>
      </c>
      <c r="D1018" s="607">
        <v>720</v>
      </c>
      <c r="E1018" s="608">
        <v>822000</v>
      </c>
      <c r="F1018" s="609" t="s">
        <v>1620</v>
      </c>
      <c r="G1018" s="610"/>
      <c r="H1018" s="610"/>
      <c r="I1018" s="611" t="s">
        <v>44</v>
      </c>
      <c r="J1018" s="616">
        <v>80</v>
      </c>
      <c r="K1018" s="613">
        <v>55</v>
      </c>
      <c r="L1018" s="616">
        <v>80</v>
      </c>
      <c r="M1018" s="616">
        <v>80</v>
      </c>
      <c r="N1018" s="614">
        <v>5.85</v>
      </c>
      <c r="O1018" s="648"/>
      <c r="P1018" s="648"/>
      <c r="R1018" s="626"/>
      <c r="T1018" s="633"/>
      <c r="U1018" s="634"/>
    </row>
    <row r="1019" spans="2:25" ht="19.149999999999999" customHeight="1">
      <c r="B1019" s="606" t="s">
        <v>629</v>
      </c>
      <c r="C1019" s="655">
        <v>5</v>
      </c>
      <c r="D1019" s="615">
        <v>750</v>
      </c>
      <c r="E1019" s="608">
        <v>822000</v>
      </c>
      <c r="F1019" s="609" t="s">
        <v>1386</v>
      </c>
      <c r="G1019" s="610"/>
      <c r="H1019" s="610"/>
      <c r="I1019" s="611" t="s">
        <v>175</v>
      </c>
      <c r="J1019" s="616">
        <f>240-48</f>
        <v>192</v>
      </c>
      <c r="K1019" s="613">
        <v>51</v>
      </c>
      <c r="L1019" s="616">
        <v>51</v>
      </c>
      <c r="M1019" s="616">
        <v>240</v>
      </c>
      <c r="N1019" s="614">
        <v>239.98887999999999</v>
      </c>
      <c r="O1019" s="648"/>
      <c r="P1019" s="648"/>
      <c r="R1019" s="626"/>
      <c r="T1019" s="633"/>
      <c r="U1019" s="634"/>
    </row>
    <row r="1020" spans="2:25" ht="19.149999999999999" customHeight="1">
      <c r="B1020" s="606" t="s">
        <v>629</v>
      </c>
      <c r="C1020" s="655">
        <v>9</v>
      </c>
      <c r="D1020" s="615">
        <v>751</v>
      </c>
      <c r="E1020" s="608">
        <v>822000</v>
      </c>
      <c r="F1020" s="609" t="s">
        <v>1558</v>
      </c>
      <c r="G1020" s="610"/>
      <c r="H1020" s="610"/>
      <c r="I1020" s="611" t="s">
        <v>175</v>
      </c>
      <c r="J1020" s="616">
        <f>250-50</f>
        <v>200</v>
      </c>
      <c r="K1020" s="613">
        <v>1</v>
      </c>
      <c r="L1020" s="616">
        <v>1</v>
      </c>
      <c r="M1020" s="616">
        <v>250</v>
      </c>
      <c r="N1020" s="614">
        <v>233.99972</v>
      </c>
      <c r="O1020" s="648"/>
      <c r="P1020" s="648"/>
      <c r="R1020" s="626"/>
      <c r="T1020" s="633"/>
      <c r="U1020" s="634"/>
    </row>
    <row r="1021" spans="2:25" ht="19.149999999999999" customHeight="1">
      <c r="B1021" s="606" t="s">
        <v>629</v>
      </c>
      <c r="C1021" s="655">
        <v>82</v>
      </c>
      <c r="D1021" s="615">
        <v>781</v>
      </c>
      <c r="E1021" s="608">
        <v>822000</v>
      </c>
      <c r="F1021" s="609" t="s">
        <v>1851</v>
      </c>
      <c r="G1021" s="610"/>
      <c r="H1021" s="610"/>
      <c r="I1021" s="611" t="s">
        <v>44</v>
      </c>
      <c r="J1021" s="616">
        <f>298</f>
        <v>298</v>
      </c>
      <c r="K1021" s="613">
        <v>244</v>
      </c>
      <c r="L1021" s="616">
        <v>244</v>
      </c>
      <c r="M1021" s="616">
        <v>314</v>
      </c>
      <c r="N1021" s="614">
        <v>311.29442999999998</v>
      </c>
      <c r="O1021" s="648"/>
      <c r="P1021" s="648"/>
      <c r="R1021" s="626"/>
      <c r="T1021" s="633"/>
      <c r="U1021" s="634"/>
    </row>
    <row r="1022" spans="2:25" ht="19.149999999999999" customHeight="1">
      <c r="B1022" s="606" t="s">
        <v>629</v>
      </c>
      <c r="C1022" s="655">
        <v>82</v>
      </c>
      <c r="D1022" s="615">
        <v>783</v>
      </c>
      <c r="E1022" s="608">
        <v>822000</v>
      </c>
      <c r="F1022" s="609" t="s">
        <v>1597</v>
      </c>
      <c r="G1022" s="610"/>
      <c r="H1022" s="610"/>
      <c r="I1022" s="611" t="s">
        <v>44</v>
      </c>
      <c r="J1022" s="616">
        <f>632-126-3</f>
        <v>503</v>
      </c>
      <c r="K1022" s="613">
        <v>705</v>
      </c>
      <c r="L1022" s="616">
        <v>705</v>
      </c>
      <c r="M1022" s="616">
        <v>740</v>
      </c>
      <c r="N1022" s="614">
        <v>747.07717000000002</v>
      </c>
      <c r="O1022" s="648"/>
      <c r="P1022" s="648"/>
      <c r="R1022" s="626"/>
      <c r="T1022" s="633"/>
      <c r="U1022" s="634"/>
    </row>
    <row r="1023" spans="2:25" ht="19.149999999999999" customHeight="1">
      <c r="B1023" s="606" t="s">
        <v>629</v>
      </c>
      <c r="C1023" s="655">
        <v>82</v>
      </c>
      <c r="D1023" s="615">
        <v>784</v>
      </c>
      <c r="E1023" s="608">
        <v>822000</v>
      </c>
      <c r="F1023" s="724" t="s">
        <v>464</v>
      </c>
      <c r="G1023" s="610"/>
      <c r="H1023" s="610"/>
      <c r="I1023" s="611" t="s">
        <v>44</v>
      </c>
      <c r="J1023" s="616">
        <f>68</f>
        <v>68</v>
      </c>
      <c r="K1023" s="613">
        <v>33</v>
      </c>
      <c r="L1023" s="616">
        <v>47</v>
      </c>
      <c r="M1023" s="616">
        <v>62</v>
      </c>
      <c r="N1023" s="614">
        <v>61.86</v>
      </c>
      <c r="O1023" s="648"/>
      <c r="P1023" s="648"/>
      <c r="R1023" s="626"/>
      <c r="T1023" s="633"/>
      <c r="U1023" s="634"/>
    </row>
    <row r="1024" spans="2:25" ht="19.149999999999999" customHeight="1">
      <c r="B1024" s="606" t="s">
        <v>629</v>
      </c>
      <c r="C1024" s="655">
        <v>82</v>
      </c>
      <c r="D1024" s="615">
        <v>785</v>
      </c>
      <c r="E1024" s="608">
        <v>822000</v>
      </c>
      <c r="F1024" s="609" t="s">
        <v>1401</v>
      </c>
      <c r="G1024" s="610"/>
      <c r="H1024" s="610"/>
      <c r="I1024" s="611" t="s">
        <v>44</v>
      </c>
      <c r="J1024" s="616">
        <f>233</f>
        <v>233</v>
      </c>
      <c r="K1024" s="613">
        <v>123</v>
      </c>
      <c r="L1024" s="616">
        <v>123</v>
      </c>
      <c r="M1024" s="616">
        <v>245</v>
      </c>
      <c r="N1024" s="614">
        <v>245</v>
      </c>
      <c r="O1024" s="648"/>
      <c r="P1024" s="648"/>
      <c r="R1024" s="626"/>
      <c r="T1024" s="633"/>
      <c r="U1024" s="634"/>
    </row>
    <row r="1025" spans="2:21" ht="19.149999999999999" customHeight="1">
      <c r="B1025" s="606" t="s">
        <v>629</v>
      </c>
      <c r="C1025" s="655">
        <v>82</v>
      </c>
      <c r="D1025" s="615">
        <v>786</v>
      </c>
      <c r="E1025" s="608">
        <v>822000</v>
      </c>
      <c r="F1025" s="609" t="s">
        <v>502</v>
      </c>
      <c r="G1025" s="610"/>
      <c r="H1025" s="610"/>
      <c r="I1025" s="611" t="s">
        <v>44</v>
      </c>
      <c r="J1025" s="616">
        <f>172</f>
        <v>172</v>
      </c>
      <c r="K1025" s="613">
        <v>0</v>
      </c>
      <c r="L1025" s="616">
        <v>0</v>
      </c>
      <c r="M1025" s="616">
        <v>172</v>
      </c>
      <c r="N1025" s="614">
        <v>170.38654</v>
      </c>
      <c r="O1025" s="648"/>
      <c r="P1025" s="648"/>
      <c r="R1025" s="626"/>
      <c r="T1025" s="633"/>
      <c r="U1025" s="634"/>
    </row>
    <row r="1026" spans="2:21" ht="19.149999999999999" customHeight="1">
      <c r="B1026" s="606" t="s">
        <v>629</v>
      </c>
      <c r="C1026" s="655">
        <v>82</v>
      </c>
      <c r="D1026" s="615">
        <v>788</v>
      </c>
      <c r="E1026" s="608">
        <v>822000</v>
      </c>
      <c r="F1026" s="609" t="s">
        <v>2106</v>
      </c>
      <c r="G1026" s="610"/>
      <c r="H1026" s="610"/>
      <c r="I1026" s="611" t="s">
        <v>44</v>
      </c>
      <c r="J1026" s="616">
        <f>750-150-200</f>
        <v>400</v>
      </c>
      <c r="K1026" s="613">
        <v>129</v>
      </c>
      <c r="L1026" s="616">
        <v>129</v>
      </c>
      <c r="M1026" s="616">
        <v>750</v>
      </c>
      <c r="N1026" s="614">
        <v>229</v>
      </c>
      <c r="O1026" s="648"/>
      <c r="P1026" s="648"/>
      <c r="R1026" s="626"/>
      <c r="T1026" s="633"/>
      <c r="U1026" s="634"/>
    </row>
    <row r="1027" spans="2:21" ht="19.149999999999999" customHeight="1">
      <c r="B1027" s="606" t="s">
        <v>629</v>
      </c>
      <c r="C1027" s="655">
        <v>82</v>
      </c>
      <c r="D1027" s="615">
        <v>789</v>
      </c>
      <c r="E1027" s="608">
        <v>822000</v>
      </c>
      <c r="F1027" s="609" t="s">
        <v>121</v>
      </c>
      <c r="G1027" s="610"/>
      <c r="H1027" s="610"/>
      <c r="I1027" s="611" t="s">
        <v>44</v>
      </c>
      <c r="J1027" s="616">
        <f>757</f>
        <v>757</v>
      </c>
      <c r="K1027" s="613">
        <v>0</v>
      </c>
      <c r="L1027" s="616">
        <v>0</v>
      </c>
      <c r="M1027" s="616">
        <v>757</v>
      </c>
      <c r="N1027" s="614">
        <v>670.66350999999997</v>
      </c>
      <c r="O1027" s="648"/>
      <c r="P1027" s="648"/>
      <c r="R1027" s="626"/>
      <c r="T1027" s="633"/>
      <c r="U1027" s="634"/>
    </row>
    <row r="1028" spans="2:21" ht="19.149999999999999" customHeight="1">
      <c r="B1028" s="606" t="s">
        <v>629</v>
      </c>
      <c r="C1028" s="655">
        <v>82</v>
      </c>
      <c r="D1028" s="615">
        <v>850</v>
      </c>
      <c r="E1028" s="608">
        <v>822000</v>
      </c>
      <c r="F1028" s="609" t="s">
        <v>2213</v>
      </c>
      <c r="G1028" s="610"/>
      <c r="H1028" s="610"/>
      <c r="I1028" s="611" t="s">
        <v>44</v>
      </c>
      <c r="J1028" s="616">
        <v>350</v>
      </c>
      <c r="K1028" s="613">
        <v>0</v>
      </c>
      <c r="L1028" s="616">
        <v>0</v>
      </c>
      <c r="M1028" s="616">
        <v>0</v>
      </c>
      <c r="N1028" s="614">
        <v>0</v>
      </c>
      <c r="O1028" s="648"/>
      <c r="P1028" s="648"/>
      <c r="R1028" s="626"/>
      <c r="T1028" s="633"/>
      <c r="U1028" s="634"/>
    </row>
    <row r="1029" spans="2:21" ht="19.5" customHeight="1">
      <c r="B1029" s="606" t="s">
        <v>629</v>
      </c>
      <c r="C1029" s="654">
        <v>82</v>
      </c>
      <c r="D1029" s="607">
        <v>870</v>
      </c>
      <c r="E1029" s="608">
        <v>822000</v>
      </c>
      <c r="F1029" s="609" t="s">
        <v>2388</v>
      </c>
      <c r="G1029" s="610"/>
      <c r="H1029" s="610"/>
      <c r="I1029" s="611" t="s">
        <v>175</v>
      </c>
      <c r="J1029" s="616">
        <f>210-42-168</f>
        <v>0</v>
      </c>
      <c r="K1029" s="613">
        <v>740</v>
      </c>
      <c r="L1029" s="616">
        <v>740</v>
      </c>
      <c r="M1029" s="616">
        <v>210</v>
      </c>
      <c r="N1029" s="614">
        <v>749</v>
      </c>
      <c r="O1029" s="648"/>
      <c r="P1029" s="648"/>
      <c r="R1029" s="626"/>
      <c r="T1029" s="633"/>
      <c r="U1029" s="634"/>
    </row>
    <row r="1030" spans="2:21" ht="19.149999999999999" customHeight="1">
      <c r="B1030" s="606" t="s">
        <v>629</v>
      </c>
      <c r="C1030" s="655">
        <v>82</v>
      </c>
      <c r="D1030" s="615">
        <v>780</v>
      </c>
      <c r="E1030" s="608">
        <v>822001</v>
      </c>
      <c r="F1030" s="703" t="s">
        <v>33</v>
      </c>
      <c r="G1030" s="610"/>
      <c r="H1030" s="610"/>
      <c r="I1030" s="611" t="s">
        <v>44</v>
      </c>
      <c r="J1030" s="616">
        <f>95</f>
        <v>95</v>
      </c>
      <c r="K1030" s="613">
        <v>0</v>
      </c>
      <c r="L1030" s="616">
        <v>0</v>
      </c>
      <c r="M1030" s="616">
        <v>100</v>
      </c>
      <c r="N1030" s="614">
        <v>52.027430000000003</v>
      </c>
      <c r="O1030" s="648"/>
      <c r="P1030" s="648"/>
      <c r="R1030" s="626"/>
      <c r="T1030" s="633"/>
      <c r="U1030" s="634"/>
    </row>
    <row r="1031" spans="2:21" ht="19.149999999999999" customHeight="1">
      <c r="B1031" s="606" t="s">
        <v>629</v>
      </c>
      <c r="C1031" s="654">
        <v>82</v>
      </c>
      <c r="D1031" s="607">
        <v>781</v>
      </c>
      <c r="E1031" s="608">
        <v>822001</v>
      </c>
      <c r="F1031" s="609" t="s">
        <v>2084</v>
      </c>
      <c r="G1031" s="610"/>
      <c r="H1031" s="610"/>
      <c r="I1031" s="611" t="s">
        <v>44</v>
      </c>
      <c r="J1031" s="616">
        <f>50</f>
        <v>50</v>
      </c>
      <c r="K1031" s="613">
        <v>76</v>
      </c>
      <c r="L1031" s="616">
        <v>76</v>
      </c>
      <c r="M1031" s="616">
        <v>76</v>
      </c>
      <c r="N1031" s="614">
        <v>74.919520000000006</v>
      </c>
      <c r="O1031" s="648"/>
      <c r="P1031" s="648"/>
      <c r="R1031" s="626"/>
      <c r="T1031" s="633"/>
      <c r="U1031" s="634"/>
    </row>
    <row r="1032" spans="2:21" ht="19.149999999999999" customHeight="1">
      <c r="B1032" s="606" t="s">
        <v>629</v>
      </c>
      <c r="C1032" s="655">
        <v>5</v>
      </c>
      <c r="D1032" s="615">
        <v>782</v>
      </c>
      <c r="E1032" s="608">
        <v>822001</v>
      </c>
      <c r="F1032" s="609" t="s">
        <v>1830</v>
      </c>
      <c r="G1032" s="610"/>
      <c r="H1032" s="610"/>
      <c r="I1032" s="611" t="s">
        <v>44</v>
      </c>
      <c r="J1032" s="616">
        <f>120-24</f>
        <v>96</v>
      </c>
      <c r="K1032" s="613">
        <v>80</v>
      </c>
      <c r="L1032" s="616">
        <v>120</v>
      </c>
      <c r="M1032" s="616">
        <v>160</v>
      </c>
      <c r="N1032" s="614">
        <v>93.183610000000002</v>
      </c>
      <c r="O1032" s="648"/>
      <c r="P1032" s="648"/>
      <c r="R1032" s="626"/>
      <c r="T1032" s="633"/>
      <c r="U1032" s="634"/>
    </row>
    <row r="1033" spans="2:21" ht="19.149999999999999" customHeight="1">
      <c r="B1033" s="606" t="s">
        <v>629</v>
      </c>
      <c r="C1033" s="655">
        <v>82</v>
      </c>
      <c r="D1033" s="615">
        <v>960</v>
      </c>
      <c r="E1033" s="608">
        <v>822001</v>
      </c>
      <c r="F1033" s="609" t="s">
        <v>8</v>
      </c>
      <c r="G1033" s="610"/>
      <c r="H1033" s="610"/>
      <c r="I1033" s="611" t="s">
        <v>44</v>
      </c>
      <c r="J1033" s="616">
        <v>77</v>
      </c>
      <c r="K1033" s="613">
        <v>77</v>
      </c>
      <c r="L1033" s="616">
        <v>77</v>
      </c>
      <c r="M1033" s="616">
        <v>96</v>
      </c>
      <c r="N1033" s="614">
        <v>93.177210000000002</v>
      </c>
      <c r="O1033" s="648"/>
      <c r="P1033" s="648"/>
      <c r="R1033" s="626"/>
      <c r="T1033" s="633"/>
      <c r="U1033" s="634"/>
    </row>
    <row r="1034" spans="2:21" ht="19.149999999999999" customHeight="1">
      <c r="B1034" s="747"/>
      <c r="C1034" s="656"/>
      <c r="D1034" s="618"/>
      <c r="E1034" s="619" t="s">
        <v>463</v>
      </c>
      <c r="F1034" s="620" t="s">
        <v>372</v>
      </c>
      <c r="G1034" s="621">
        <f>SUM(G1014:G1030)</f>
        <v>4</v>
      </c>
      <c r="H1034" s="621">
        <f>SUM(H1014:H1030)</f>
        <v>5</v>
      </c>
      <c r="I1034" s="622"/>
      <c r="J1034" s="623">
        <f>SUM(J1014:J1033)</f>
        <v>4549</v>
      </c>
      <c r="K1034" s="624">
        <f>SUM(K1014:K1033)</f>
        <v>3556</v>
      </c>
      <c r="L1034" s="623">
        <f>SUM(L1014:L1033)</f>
        <v>3741</v>
      </c>
      <c r="M1034" s="623">
        <f>SUM(M1014:M1033)</f>
        <v>5661</v>
      </c>
      <c r="N1034" s="625">
        <f>SUM(N1014:N1033)</f>
        <v>5265.7749800000011</v>
      </c>
      <c r="O1034" s="648"/>
      <c r="P1034" s="648"/>
      <c r="R1034" s="626"/>
      <c r="T1034" s="633"/>
      <c r="U1034" s="632"/>
    </row>
    <row r="1035" spans="2:21" ht="19.149999999999999" customHeight="1">
      <c r="B1035" s="704"/>
      <c r="C1035" s="684"/>
      <c r="D1035" s="705"/>
      <c r="E1035" s="695" t="s">
        <v>30</v>
      </c>
      <c r="F1035" s="819" t="s">
        <v>2033</v>
      </c>
      <c r="G1035" s="706"/>
      <c r="H1035" s="706"/>
      <c r="I1035" s="707"/>
      <c r="J1035" s="690"/>
      <c r="K1035" s="693"/>
      <c r="L1035" s="690"/>
      <c r="M1035" s="690"/>
      <c r="N1035" s="708"/>
      <c r="O1035" s="648"/>
      <c r="P1035" s="648"/>
      <c r="R1035" s="626"/>
      <c r="T1035" s="633"/>
      <c r="U1035" s="632"/>
    </row>
    <row r="1036" spans="2:21" ht="19.149999999999999" customHeight="1">
      <c r="B1036" s="606" t="s">
        <v>31</v>
      </c>
      <c r="C1036" s="654">
        <v>1</v>
      </c>
      <c r="D1036" s="607">
        <v>100</v>
      </c>
      <c r="E1036" s="608">
        <v>822100</v>
      </c>
      <c r="F1036" s="609" t="s">
        <v>848</v>
      </c>
      <c r="G1036" s="610">
        <v>0</v>
      </c>
      <c r="H1036" s="610">
        <v>0</v>
      </c>
      <c r="I1036" s="611" t="s">
        <v>669</v>
      </c>
      <c r="J1036" s="616">
        <v>0</v>
      </c>
      <c r="K1036" s="613">
        <v>0</v>
      </c>
      <c r="L1036" s="616">
        <v>0</v>
      </c>
      <c r="M1036" s="616">
        <v>0</v>
      </c>
      <c r="N1036" s="614">
        <v>278.10552000000001</v>
      </c>
      <c r="O1036" s="648"/>
      <c r="P1036" s="648"/>
      <c r="R1036" s="626"/>
      <c r="T1036" s="633"/>
      <c r="U1036" s="634"/>
    </row>
    <row r="1037" spans="2:21" ht="19.149999999999999" customHeight="1">
      <c r="B1037" s="606" t="s">
        <v>31</v>
      </c>
      <c r="C1037" s="654">
        <v>12</v>
      </c>
      <c r="D1037" s="607">
        <v>550</v>
      </c>
      <c r="E1037" s="608">
        <v>822100</v>
      </c>
      <c r="F1037" s="609" t="s">
        <v>607</v>
      </c>
      <c r="G1037" s="610"/>
      <c r="H1037" s="610"/>
      <c r="I1037" s="611" t="s">
        <v>44</v>
      </c>
      <c r="J1037" s="616">
        <v>0</v>
      </c>
      <c r="K1037" s="613">
        <v>0</v>
      </c>
      <c r="L1037" s="616">
        <v>0</v>
      </c>
      <c r="M1037" s="616">
        <v>0</v>
      </c>
      <c r="N1037" s="614">
        <v>75.636080000000007</v>
      </c>
      <c r="O1037" s="648"/>
      <c r="P1037" s="648"/>
      <c r="R1037" s="626"/>
      <c r="T1037" s="633"/>
      <c r="U1037" s="634"/>
    </row>
    <row r="1038" spans="2:21" ht="19.149999999999999" customHeight="1">
      <c r="B1038" s="606" t="s">
        <v>31</v>
      </c>
      <c r="C1038" s="654">
        <v>1</v>
      </c>
      <c r="D1038" s="607">
        <v>780</v>
      </c>
      <c r="E1038" s="608">
        <v>822100</v>
      </c>
      <c r="F1038" s="609" t="s">
        <v>2017</v>
      </c>
      <c r="G1038" s="610"/>
      <c r="H1038" s="610"/>
      <c r="I1038" s="611" t="s">
        <v>44</v>
      </c>
      <c r="J1038" s="616">
        <v>0</v>
      </c>
      <c r="K1038" s="613">
        <v>0</v>
      </c>
      <c r="L1038" s="616">
        <v>0</v>
      </c>
      <c r="M1038" s="616">
        <v>0</v>
      </c>
      <c r="N1038" s="614">
        <v>451.50658000000004</v>
      </c>
      <c r="O1038" s="648"/>
      <c r="P1038" s="648"/>
      <c r="R1038" s="626"/>
      <c r="T1038" s="633"/>
      <c r="U1038" s="634"/>
    </row>
    <row r="1039" spans="2:21" ht="19.149999999999999" customHeight="1">
      <c r="B1039" s="606" t="s">
        <v>31</v>
      </c>
      <c r="C1039" s="654">
        <v>1</v>
      </c>
      <c r="D1039" s="607">
        <v>781</v>
      </c>
      <c r="E1039" s="608">
        <v>822100</v>
      </c>
      <c r="F1039" s="609" t="s">
        <v>2014</v>
      </c>
      <c r="G1039" s="610"/>
      <c r="H1039" s="610"/>
      <c r="I1039" s="611" t="s">
        <v>175</v>
      </c>
      <c r="J1039" s="616">
        <v>0</v>
      </c>
      <c r="K1039" s="613">
        <v>0</v>
      </c>
      <c r="L1039" s="616">
        <v>0</v>
      </c>
      <c r="M1039" s="616">
        <v>0</v>
      </c>
      <c r="N1039" s="614">
        <v>753.88030000000003</v>
      </c>
      <c r="O1039" s="648"/>
      <c r="P1039" s="648"/>
      <c r="R1039" s="626"/>
      <c r="T1039" s="633"/>
      <c r="U1039" s="634"/>
    </row>
    <row r="1040" spans="2:21" ht="19.149999999999999" customHeight="1">
      <c r="B1040" s="747"/>
      <c r="C1040" s="656"/>
      <c r="D1040" s="618"/>
      <c r="E1040" s="619" t="s">
        <v>30</v>
      </c>
      <c r="F1040" s="620" t="s">
        <v>1191</v>
      </c>
      <c r="G1040" s="621">
        <f>SUM(G1036:G1039)</f>
        <v>0</v>
      </c>
      <c r="H1040" s="621">
        <f>SUM(H1036:H1039)</f>
        <v>0</v>
      </c>
      <c r="I1040" s="622"/>
      <c r="J1040" s="623">
        <f>SUM(J1036:J1039)</f>
        <v>0</v>
      </c>
      <c r="K1040" s="624">
        <f>SUM(K1036:K1039)</f>
        <v>0</v>
      </c>
      <c r="L1040" s="623">
        <f>SUM(L1036:L1039)</f>
        <v>0</v>
      </c>
      <c r="M1040" s="623">
        <f>SUM(M1036:M1039)</f>
        <v>0</v>
      </c>
      <c r="N1040" s="625">
        <f>SUM(N1036:N1039)</f>
        <v>1559.1284800000001</v>
      </c>
      <c r="O1040" s="648"/>
      <c r="P1040" s="648"/>
      <c r="R1040" s="626"/>
      <c r="T1040" s="633"/>
      <c r="U1040" s="632"/>
    </row>
    <row r="1041" spans="2:25" ht="19.149999999999999" customHeight="1">
      <c r="B1041" s="704"/>
      <c r="C1041" s="684"/>
      <c r="D1041" s="705"/>
      <c r="E1041" s="695" t="s">
        <v>465</v>
      </c>
      <c r="F1041" s="687" t="s">
        <v>466</v>
      </c>
      <c r="G1041" s="706"/>
      <c r="H1041" s="706"/>
      <c r="I1041" s="707"/>
      <c r="J1041" s="690"/>
      <c r="K1041" s="693"/>
      <c r="L1041" s="690"/>
      <c r="M1041" s="690"/>
      <c r="N1041" s="708"/>
      <c r="O1041" s="648"/>
      <c r="P1041" s="648"/>
      <c r="R1041" s="626"/>
      <c r="T1041" s="633"/>
      <c r="U1041" s="632"/>
    </row>
    <row r="1042" spans="2:25" ht="19.149999999999999" customHeight="1">
      <c r="B1042" s="606" t="s">
        <v>466</v>
      </c>
      <c r="C1042" s="655">
        <v>82</v>
      </c>
      <c r="D1042" s="615">
        <v>100</v>
      </c>
      <c r="E1042" s="608">
        <v>823000</v>
      </c>
      <c r="F1042" s="609" t="s">
        <v>1058</v>
      </c>
      <c r="G1042" s="610">
        <v>20.71</v>
      </c>
      <c r="H1042" s="610">
        <v>17.833166666666667</v>
      </c>
      <c r="I1042" s="611" t="s">
        <v>669</v>
      </c>
      <c r="J1042" s="616">
        <f>3044+60+222</f>
        <v>3326</v>
      </c>
      <c r="K1042" s="613">
        <v>2933</v>
      </c>
      <c r="L1042" s="616">
        <v>3067</v>
      </c>
      <c r="M1042" s="616">
        <v>3129</v>
      </c>
      <c r="N1042" s="614">
        <v>2871.5785000000001</v>
      </c>
      <c r="O1042" s="648"/>
      <c r="P1042" s="648"/>
      <c r="R1042" s="626"/>
      <c r="T1042" s="633"/>
      <c r="U1042" s="634"/>
      <c r="Y1042" s="657"/>
    </row>
    <row r="1043" spans="2:25" ht="19.149999999999999" customHeight="1">
      <c r="B1043" s="606" t="s">
        <v>466</v>
      </c>
      <c r="C1043" s="654">
        <v>5</v>
      </c>
      <c r="D1043" s="607">
        <v>420</v>
      </c>
      <c r="E1043" s="608">
        <v>823000</v>
      </c>
      <c r="F1043" s="609" t="s">
        <v>544</v>
      </c>
      <c r="G1043" s="610"/>
      <c r="H1043" s="610"/>
      <c r="I1043" s="611" t="s">
        <v>44</v>
      </c>
      <c r="J1043" s="616">
        <v>6</v>
      </c>
      <c r="K1043" s="613">
        <v>6</v>
      </c>
      <c r="L1043" s="616">
        <v>6</v>
      </c>
      <c r="M1043" s="616">
        <v>6</v>
      </c>
      <c r="N1043" s="614">
        <v>3.9663000000000004</v>
      </c>
      <c r="O1043" s="648"/>
      <c r="P1043" s="648"/>
      <c r="R1043" s="626"/>
      <c r="T1043" s="633"/>
      <c r="U1043" s="634"/>
    </row>
    <row r="1044" spans="2:25" ht="19.149999999999999" customHeight="1">
      <c r="B1044" s="606" t="s">
        <v>466</v>
      </c>
      <c r="C1044" s="654">
        <v>2</v>
      </c>
      <c r="D1044" s="607">
        <v>429</v>
      </c>
      <c r="E1044" s="608">
        <v>823000</v>
      </c>
      <c r="F1044" s="609" t="s">
        <v>651</v>
      </c>
      <c r="G1044" s="610"/>
      <c r="H1044" s="610"/>
      <c r="I1044" s="611" t="s">
        <v>175</v>
      </c>
      <c r="J1044" s="616">
        <v>21</v>
      </c>
      <c r="K1044" s="613">
        <v>21</v>
      </c>
      <c r="L1044" s="616">
        <v>21</v>
      </c>
      <c r="M1044" s="616">
        <v>21</v>
      </c>
      <c r="N1044" s="614">
        <v>18.899999999999999</v>
      </c>
      <c r="O1044" s="648"/>
      <c r="P1044" s="648"/>
      <c r="R1044" s="626"/>
      <c r="T1044" s="633"/>
      <c r="U1044" s="634"/>
    </row>
    <row r="1045" spans="2:25" ht="19.149999999999999" customHeight="1">
      <c r="B1045" s="606" t="s">
        <v>466</v>
      </c>
      <c r="C1045" s="654">
        <v>82</v>
      </c>
      <c r="D1045" s="607">
        <v>430</v>
      </c>
      <c r="E1045" s="608">
        <v>823000</v>
      </c>
      <c r="F1045" s="609" t="s">
        <v>192</v>
      </c>
      <c r="G1045" s="610"/>
      <c r="H1045" s="610"/>
      <c r="I1045" s="611" t="s">
        <v>175</v>
      </c>
      <c r="J1045" s="616">
        <v>62</v>
      </c>
      <c r="K1045" s="613">
        <v>62</v>
      </c>
      <c r="L1045" s="616">
        <v>47</v>
      </c>
      <c r="M1045" s="616">
        <v>47</v>
      </c>
      <c r="N1045" s="614">
        <v>36.359220000000001</v>
      </c>
      <c r="O1045" s="648"/>
      <c r="P1045" s="648"/>
      <c r="R1045" s="626"/>
      <c r="T1045" s="633"/>
      <c r="U1045" s="634"/>
    </row>
    <row r="1046" spans="2:25" ht="19.149999999999999" customHeight="1">
      <c r="B1046" s="606" t="s">
        <v>466</v>
      </c>
      <c r="C1046" s="654">
        <v>82</v>
      </c>
      <c r="D1046" s="607">
        <v>450</v>
      </c>
      <c r="E1046" s="608">
        <v>823000</v>
      </c>
      <c r="F1046" s="609" t="s">
        <v>440</v>
      </c>
      <c r="G1046" s="610"/>
      <c r="H1046" s="610"/>
      <c r="I1046" s="611" t="s">
        <v>44</v>
      </c>
      <c r="J1046" s="616">
        <v>19</v>
      </c>
      <c r="K1046" s="613">
        <v>20</v>
      </c>
      <c r="L1046" s="616">
        <v>20</v>
      </c>
      <c r="M1046" s="616">
        <v>20</v>
      </c>
      <c r="N1046" s="614">
        <v>19.991009999999999</v>
      </c>
      <c r="O1046" s="648"/>
      <c r="P1046" s="648"/>
      <c r="R1046" s="626"/>
      <c r="T1046" s="633"/>
      <c r="U1046" s="634"/>
    </row>
    <row r="1047" spans="2:25" ht="19.149999999999999" customHeight="1">
      <c r="B1047" s="606" t="s">
        <v>466</v>
      </c>
      <c r="C1047" s="654">
        <v>82</v>
      </c>
      <c r="D1047" s="607">
        <v>470</v>
      </c>
      <c r="E1047" s="608">
        <v>823000</v>
      </c>
      <c r="F1047" s="609" t="s">
        <v>343</v>
      </c>
      <c r="G1047" s="610"/>
      <c r="H1047" s="610"/>
      <c r="I1047" s="611" t="s">
        <v>44</v>
      </c>
      <c r="J1047" s="616">
        <v>25</v>
      </c>
      <c r="K1047" s="613">
        <v>26</v>
      </c>
      <c r="L1047" s="616">
        <v>26</v>
      </c>
      <c r="M1047" s="616">
        <v>26</v>
      </c>
      <c r="N1047" s="614">
        <v>25.9587</v>
      </c>
      <c r="O1047" s="648"/>
      <c r="P1047" s="648"/>
      <c r="R1047" s="626"/>
      <c r="T1047" s="633"/>
      <c r="U1047" s="634"/>
    </row>
    <row r="1048" spans="2:25" ht="19.149999999999999" customHeight="1">
      <c r="B1048" s="606" t="s">
        <v>466</v>
      </c>
      <c r="C1048" s="654">
        <v>82</v>
      </c>
      <c r="D1048" s="607">
        <v>522</v>
      </c>
      <c r="E1048" s="608">
        <v>823000</v>
      </c>
      <c r="F1048" s="609" t="s">
        <v>441</v>
      </c>
      <c r="G1048" s="610"/>
      <c r="H1048" s="610"/>
      <c r="I1048" s="611" t="s">
        <v>44</v>
      </c>
      <c r="J1048" s="616">
        <v>28</v>
      </c>
      <c r="K1048" s="613">
        <v>28</v>
      </c>
      <c r="L1048" s="616">
        <v>28</v>
      </c>
      <c r="M1048" s="616">
        <v>28</v>
      </c>
      <c r="N1048" s="614">
        <v>27.983029999999999</v>
      </c>
      <c r="O1048" s="648"/>
      <c r="P1048" s="648"/>
      <c r="R1048" s="626"/>
      <c r="T1048" s="633"/>
      <c r="U1048" s="634"/>
    </row>
    <row r="1049" spans="2:25" ht="19.149999999999999" customHeight="1">
      <c r="B1049" s="606" t="s">
        <v>466</v>
      </c>
      <c r="C1049" s="654">
        <v>10</v>
      </c>
      <c r="D1049" s="607">
        <v>540</v>
      </c>
      <c r="E1049" s="608">
        <v>823000</v>
      </c>
      <c r="F1049" s="609" t="s">
        <v>1648</v>
      </c>
      <c r="G1049" s="610"/>
      <c r="H1049" s="610"/>
      <c r="I1049" s="611" t="s">
        <v>175</v>
      </c>
      <c r="J1049" s="616">
        <v>15</v>
      </c>
      <c r="K1049" s="613">
        <v>15</v>
      </c>
      <c r="L1049" s="616">
        <v>15</v>
      </c>
      <c r="M1049" s="616">
        <v>15</v>
      </c>
      <c r="N1049" s="614">
        <v>12.697760000000001</v>
      </c>
      <c r="O1049" s="648"/>
      <c r="P1049" s="648"/>
      <c r="R1049" s="626"/>
      <c r="T1049" s="633"/>
      <c r="U1049" s="634"/>
    </row>
    <row r="1050" spans="2:25" ht="19.149999999999999" customHeight="1">
      <c r="B1050" s="606" t="s">
        <v>466</v>
      </c>
      <c r="C1050" s="654">
        <v>12</v>
      </c>
      <c r="D1050" s="607">
        <v>550</v>
      </c>
      <c r="E1050" s="608">
        <v>823000</v>
      </c>
      <c r="F1050" s="609" t="s">
        <v>607</v>
      </c>
      <c r="G1050" s="610"/>
      <c r="H1050" s="610"/>
      <c r="I1050" s="611" t="s">
        <v>44</v>
      </c>
      <c r="J1050" s="616">
        <v>38</v>
      </c>
      <c r="K1050" s="613">
        <v>20</v>
      </c>
      <c r="L1050" s="616">
        <v>38</v>
      </c>
      <c r="M1050" s="616">
        <v>38</v>
      </c>
      <c r="N1050" s="614">
        <v>37.953489999999995</v>
      </c>
      <c r="O1050" s="648"/>
      <c r="P1050" s="648"/>
      <c r="R1050" s="626"/>
      <c r="T1050" s="633"/>
      <c r="U1050" s="634"/>
    </row>
    <row r="1051" spans="2:25" ht="19.149999999999999" customHeight="1">
      <c r="B1051" s="606" t="s">
        <v>466</v>
      </c>
      <c r="C1051" s="654">
        <v>10</v>
      </c>
      <c r="D1051" s="607">
        <v>570</v>
      </c>
      <c r="E1051" s="608">
        <v>823000</v>
      </c>
      <c r="F1051" s="609" t="s">
        <v>608</v>
      </c>
      <c r="G1051" s="610"/>
      <c r="H1051" s="610"/>
      <c r="I1051" s="611" t="s">
        <v>175</v>
      </c>
      <c r="J1051" s="616">
        <v>90</v>
      </c>
      <c r="K1051" s="613">
        <v>87</v>
      </c>
      <c r="L1051" s="616">
        <v>83</v>
      </c>
      <c r="M1051" s="616">
        <v>83</v>
      </c>
      <c r="N1051" s="614">
        <v>68.533500000000004</v>
      </c>
      <c r="O1051" s="648"/>
      <c r="P1051" s="648"/>
      <c r="R1051" s="626"/>
      <c r="T1051" s="633"/>
      <c r="U1051" s="634"/>
    </row>
    <row r="1052" spans="2:25" ht="28">
      <c r="B1052" s="606" t="s">
        <v>466</v>
      </c>
      <c r="C1052" s="654">
        <v>82</v>
      </c>
      <c r="D1052" s="607">
        <v>720</v>
      </c>
      <c r="E1052" s="608">
        <v>823000</v>
      </c>
      <c r="F1052" s="703" t="s">
        <v>1621</v>
      </c>
      <c r="G1052" s="610"/>
      <c r="H1052" s="610"/>
      <c r="I1052" s="611" t="s">
        <v>175</v>
      </c>
      <c r="J1052" s="616">
        <v>40</v>
      </c>
      <c r="K1052" s="613">
        <v>20</v>
      </c>
      <c r="L1052" s="616">
        <v>40</v>
      </c>
      <c r="M1052" s="616">
        <v>40</v>
      </c>
      <c r="N1052" s="614">
        <v>65.470759999999999</v>
      </c>
      <c r="O1052" s="648"/>
      <c r="P1052" s="648"/>
      <c r="R1052" s="626"/>
      <c r="T1052" s="633"/>
      <c r="U1052" s="634"/>
    </row>
    <row r="1053" spans="2:25" ht="19.149999999999999" customHeight="1">
      <c r="B1053" s="606" t="s">
        <v>466</v>
      </c>
      <c r="C1053" s="654">
        <v>82</v>
      </c>
      <c r="D1053" s="607">
        <v>721</v>
      </c>
      <c r="E1053" s="608">
        <v>823000</v>
      </c>
      <c r="F1053" s="609" t="s">
        <v>1343</v>
      </c>
      <c r="G1053" s="610"/>
      <c r="H1053" s="610"/>
      <c r="I1053" s="611" t="s">
        <v>44</v>
      </c>
      <c r="J1053" s="616">
        <v>55</v>
      </c>
      <c r="K1053" s="613">
        <v>58</v>
      </c>
      <c r="L1053" s="616">
        <v>58</v>
      </c>
      <c r="M1053" s="616">
        <v>58</v>
      </c>
      <c r="N1053" s="614">
        <v>57.785209999999999</v>
      </c>
      <c r="O1053" s="648"/>
      <c r="P1053" s="648"/>
      <c r="R1053" s="626"/>
      <c r="T1053" s="633"/>
      <c r="U1053" s="634"/>
    </row>
    <row r="1054" spans="2:25" ht="19.149999999999999" customHeight="1">
      <c r="B1054" s="606" t="s">
        <v>466</v>
      </c>
      <c r="C1054" s="655">
        <v>5</v>
      </c>
      <c r="D1054" s="615">
        <v>750</v>
      </c>
      <c r="E1054" s="608">
        <v>823000</v>
      </c>
      <c r="F1054" s="609" t="s">
        <v>361</v>
      </c>
      <c r="G1054" s="610"/>
      <c r="H1054" s="610"/>
      <c r="I1054" s="611" t="s">
        <v>175</v>
      </c>
      <c r="J1054" s="616">
        <v>158</v>
      </c>
      <c r="K1054" s="613">
        <v>149</v>
      </c>
      <c r="L1054" s="616">
        <v>149</v>
      </c>
      <c r="M1054" s="616">
        <v>154</v>
      </c>
      <c r="N1054" s="614">
        <v>149.37394</v>
      </c>
      <c r="O1054" s="648"/>
      <c r="P1054" s="648"/>
      <c r="R1054" s="626"/>
      <c r="T1054" s="633"/>
      <c r="U1054" s="634"/>
    </row>
    <row r="1055" spans="2:25" ht="19.149999999999999" customHeight="1">
      <c r="B1055" s="606" t="s">
        <v>466</v>
      </c>
      <c r="C1055" s="655">
        <v>9</v>
      </c>
      <c r="D1055" s="615">
        <v>751</v>
      </c>
      <c r="E1055" s="608">
        <v>823000</v>
      </c>
      <c r="F1055" s="609" t="s">
        <v>314</v>
      </c>
      <c r="G1055" s="610"/>
      <c r="H1055" s="610"/>
      <c r="I1055" s="611" t="s">
        <v>175</v>
      </c>
      <c r="J1055" s="616">
        <v>140</v>
      </c>
      <c r="K1055" s="613">
        <v>120</v>
      </c>
      <c r="L1055" s="616">
        <v>120</v>
      </c>
      <c r="M1055" s="616">
        <v>140</v>
      </c>
      <c r="N1055" s="614">
        <v>115.81350999999999</v>
      </c>
      <c r="O1055" s="648"/>
      <c r="P1055" s="648"/>
      <c r="R1055" s="626"/>
      <c r="T1055" s="633"/>
      <c r="U1055" s="634"/>
    </row>
    <row r="1056" spans="2:25" ht="19.149999999999999" customHeight="1">
      <c r="B1056" s="606" t="s">
        <v>466</v>
      </c>
      <c r="C1056" s="654">
        <v>5</v>
      </c>
      <c r="D1056" s="607">
        <v>752</v>
      </c>
      <c r="E1056" s="608">
        <v>823000</v>
      </c>
      <c r="F1056" s="609" t="s">
        <v>1276</v>
      </c>
      <c r="G1056" s="610"/>
      <c r="H1056" s="610"/>
      <c r="I1056" s="611" t="s">
        <v>175</v>
      </c>
      <c r="J1056" s="616">
        <v>24</v>
      </c>
      <c r="K1056" s="613">
        <v>24</v>
      </c>
      <c r="L1056" s="616">
        <v>24</v>
      </c>
      <c r="M1056" s="616">
        <v>24</v>
      </c>
      <c r="N1056" s="614">
        <v>16.16583</v>
      </c>
      <c r="O1056" s="648"/>
      <c r="P1056" s="648"/>
      <c r="R1056" s="626"/>
      <c r="T1056" s="633"/>
      <c r="U1056" s="634"/>
    </row>
    <row r="1057" spans="2:21" ht="19.149999999999999" customHeight="1">
      <c r="B1057" s="606" t="s">
        <v>466</v>
      </c>
      <c r="C1057" s="654">
        <v>82</v>
      </c>
      <c r="D1057" s="607">
        <v>780</v>
      </c>
      <c r="E1057" s="608">
        <v>823000</v>
      </c>
      <c r="F1057" s="609" t="s">
        <v>758</v>
      </c>
      <c r="G1057" s="610"/>
      <c r="H1057" s="610"/>
      <c r="I1057" s="611" t="s">
        <v>44</v>
      </c>
      <c r="J1057" s="616">
        <v>120</v>
      </c>
      <c r="K1057" s="613">
        <v>126</v>
      </c>
      <c r="L1057" s="616">
        <v>126</v>
      </c>
      <c r="M1057" s="616">
        <v>126</v>
      </c>
      <c r="N1057" s="614">
        <v>125.90536999999999</v>
      </c>
      <c r="O1057" s="648"/>
      <c r="P1057" s="648"/>
      <c r="R1057" s="626"/>
      <c r="T1057" s="633"/>
      <c r="U1057" s="634"/>
    </row>
    <row r="1058" spans="2:21" ht="19.149999999999999" customHeight="1">
      <c r="B1058" s="606" t="s">
        <v>466</v>
      </c>
      <c r="C1058" s="654">
        <v>82</v>
      </c>
      <c r="D1058" s="607">
        <v>781</v>
      </c>
      <c r="E1058" s="608">
        <v>823000</v>
      </c>
      <c r="F1058" s="609" t="s">
        <v>1622</v>
      </c>
      <c r="G1058" s="610"/>
      <c r="H1058" s="610"/>
      <c r="I1058" s="611" t="s">
        <v>44</v>
      </c>
      <c r="J1058" s="616">
        <v>90</v>
      </c>
      <c r="K1058" s="613">
        <v>42</v>
      </c>
      <c r="L1058" s="616">
        <v>90</v>
      </c>
      <c r="M1058" s="616">
        <v>90</v>
      </c>
      <c r="N1058" s="614">
        <v>90.225979999999993</v>
      </c>
      <c r="O1058" s="648"/>
      <c r="P1058" s="648"/>
      <c r="R1058" s="626"/>
      <c r="T1058" s="633"/>
      <c r="U1058" s="634"/>
    </row>
    <row r="1059" spans="2:21" ht="19.149999999999999" customHeight="1">
      <c r="B1059" s="606" t="s">
        <v>466</v>
      </c>
      <c r="C1059" s="654">
        <v>82</v>
      </c>
      <c r="D1059" s="607">
        <v>783</v>
      </c>
      <c r="E1059" s="608">
        <v>823000</v>
      </c>
      <c r="F1059" s="609" t="s">
        <v>1004</v>
      </c>
      <c r="G1059" s="610"/>
      <c r="H1059" s="610"/>
      <c r="I1059" s="611" t="s">
        <v>44</v>
      </c>
      <c r="J1059" s="616">
        <v>46</v>
      </c>
      <c r="K1059" s="613">
        <v>48</v>
      </c>
      <c r="L1059" s="616">
        <v>48</v>
      </c>
      <c r="M1059" s="616">
        <v>48</v>
      </c>
      <c r="N1059" s="614">
        <v>38.038499999999999</v>
      </c>
      <c r="O1059" s="648"/>
      <c r="P1059" s="648"/>
      <c r="R1059" s="626"/>
      <c r="T1059" s="633"/>
      <c r="U1059" s="634"/>
    </row>
    <row r="1060" spans="2:21" ht="19.149999999999999" customHeight="1">
      <c r="B1060" s="747"/>
      <c r="C1060" s="656"/>
      <c r="D1060" s="618"/>
      <c r="E1060" s="619" t="s">
        <v>465</v>
      </c>
      <c r="F1060" s="620" t="s">
        <v>1005</v>
      </c>
      <c r="G1060" s="621">
        <f>SUM(G1042:G1059)</f>
        <v>20.71</v>
      </c>
      <c r="H1060" s="621">
        <f>SUM(H1042:H1059)</f>
        <v>17.833166666666667</v>
      </c>
      <c r="I1060" s="622"/>
      <c r="J1060" s="623">
        <f>SUM(J1042:J1059)</f>
        <v>4303</v>
      </c>
      <c r="K1060" s="624">
        <f>SUM(K1042:K1059)</f>
        <v>3805</v>
      </c>
      <c r="L1060" s="623">
        <f>SUM(L1042:L1059)</f>
        <v>4006</v>
      </c>
      <c r="M1060" s="623">
        <f>SUM(M1042:M1059)</f>
        <v>4093</v>
      </c>
      <c r="N1060" s="625">
        <f>SUM(N1042:N1059)</f>
        <v>3782.7006100000003</v>
      </c>
      <c r="O1060" s="648"/>
      <c r="P1060" s="648"/>
      <c r="R1060" s="626"/>
      <c r="T1060" s="633"/>
      <c r="U1060" s="632"/>
    </row>
    <row r="1061" spans="2:21" ht="19.149999999999999" customHeight="1">
      <c r="B1061" s="704"/>
      <c r="C1061" s="684"/>
      <c r="D1061" s="705"/>
      <c r="E1061" s="695" t="s">
        <v>1006</v>
      </c>
      <c r="F1061" s="687" t="s">
        <v>1007</v>
      </c>
      <c r="G1061" s="706"/>
      <c r="H1061" s="706"/>
      <c r="I1061" s="707"/>
      <c r="J1061" s="690"/>
      <c r="K1061" s="693"/>
      <c r="L1061" s="690"/>
      <c r="M1061" s="690"/>
      <c r="N1061" s="708"/>
      <c r="O1061" s="648"/>
      <c r="P1061" s="648"/>
      <c r="R1061" s="626"/>
      <c r="T1061" s="633"/>
      <c r="U1061" s="632"/>
    </row>
    <row r="1062" spans="2:21" ht="19.149999999999999" customHeight="1">
      <c r="B1062" s="606" t="s">
        <v>376</v>
      </c>
      <c r="C1062" s="654">
        <v>82</v>
      </c>
      <c r="D1062" s="607">
        <v>100</v>
      </c>
      <c r="E1062" s="608">
        <v>823100</v>
      </c>
      <c r="F1062" s="609" t="s">
        <v>151</v>
      </c>
      <c r="G1062" s="610">
        <v>0.5</v>
      </c>
      <c r="H1062" s="610">
        <v>0.5</v>
      </c>
      <c r="I1062" s="611" t="s">
        <v>669</v>
      </c>
      <c r="J1062" s="616">
        <v>79</v>
      </c>
      <c r="K1062" s="613">
        <v>77</v>
      </c>
      <c r="L1062" s="616">
        <v>79</v>
      </c>
      <c r="M1062" s="616">
        <v>79</v>
      </c>
      <c r="N1062" s="614">
        <v>67.948890000000006</v>
      </c>
      <c r="O1062" s="648"/>
      <c r="P1062" s="648"/>
      <c r="R1062" s="626"/>
      <c r="T1062" s="633"/>
      <c r="U1062" s="634"/>
    </row>
    <row r="1063" spans="2:21" ht="14">
      <c r="B1063" s="747"/>
      <c r="C1063" s="656"/>
      <c r="D1063" s="618"/>
      <c r="E1063" s="619" t="s">
        <v>1006</v>
      </c>
      <c r="F1063" s="620" t="s">
        <v>377</v>
      </c>
      <c r="G1063" s="621">
        <f>SUM(G1062)</f>
        <v>0.5</v>
      </c>
      <c r="H1063" s="621">
        <f>SUM(H1062)</f>
        <v>0.5</v>
      </c>
      <c r="I1063" s="622"/>
      <c r="J1063" s="623">
        <f>SUM(J1061:J1062)</f>
        <v>79</v>
      </c>
      <c r="K1063" s="624">
        <f>SUM(K1061:K1062)</f>
        <v>77</v>
      </c>
      <c r="L1063" s="623">
        <f>SUM(L1061:L1062)</f>
        <v>79</v>
      </c>
      <c r="M1063" s="623">
        <f>SUM(M1061:M1062)</f>
        <v>79</v>
      </c>
      <c r="N1063" s="625">
        <f>SUM(N1061:N1062)</f>
        <v>67.948890000000006</v>
      </c>
      <c r="O1063" s="648"/>
      <c r="P1063" s="648"/>
      <c r="R1063" s="626"/>
      <c r="T1063" s="633"/>
      <c r="U1063" s="632"/>
    </row>
    <row r="1064" spans="2:21" ht="19.149999999999999" customHeight="1">
      <c r="B1064" s="704"/>
      <c r="C1064" s="684"/>
      <c r="D1064" s="705"/>
      <c r="E1064" s="695" t="s">
        <v>768</v>
      </c>
      <c r="F1064" s="687" t="s">
        <v>630</v>
      </c>
      <c r="G1064" s="706"/>
      <c r="H1064" s="706"/>
      <c r="I1064" s="707"/>
      <c r="J1064" s="690"/>
      <c r="K1064" s="693"/>
      <c r="L1064" s="690"/>
      <c r="M1064" s="690"/>
      <c r="N1064" s="708"/>
      <c r="O1064" s="648"/>
      <c r="P1064" s="648"/>
      <c r="R1064" s="626"/>
      <c r="T1064" s="633"/>
      <c r="U1064" s="632"/>
    </row>
    <row r="1065" spans="2:21" ht="19.149999999999999" customHeight="1">
      <c r="B1065" s="606" t="s">
        <v>630</v>
      </c>
      <c r="C1065" s="654">
        <v>82</v>
      </c>
      <c r="D1065" s="607">
        <v>100</v>
      </c>
      <c r="E1065" s="608">
        <v>823200</v>
      </c>
      <c r="F1065" s="701" t="s">
        <v>1162</v>
      </c>
      <c r="G1065" s="610">
        <v>0.8</v>
      </c>
      <c r="H1065" s="610">
        <v>0.8</v>
      </c>
      <c r="I1065" s="611" t="s">
        <v>669</v>
      </c>
      <c r="J1065" s="616">
        <v>145</v>
      </c>
      <c r="K1065" s="613">
        <v>142</v>
      </c>
      <c r="L1065" s="616">
        <v>164</v>
      </c>
      <c r="M1065" s="616">
        <v>164</v>
      </c>
      <c r="N1065" s="614">
        <v>136.74942000000001</v>
      </c>
      <c r="O1065" s="648"/>
      <c r="P1065" s="648"/>
      <c r="R1065" s="626"/>
      <c r="T1065" s="633"/>
      <c r="U1065" s="634"/>
    </row>
    <row r="1066" spans="2:21" ht="28">
      <c r="B1066" s="606" t="s">
        <v>630</v>
      </c>
      <c r="C1066" s="654">
        <v>82</v>
      </c>
      <c r="D1066" s="607">
        <v>870</v>
      </c>
      <c r="E1066" s="608">
        <v>823200</v>
      </c>
      <c r="F1066" s="710" t="s">
        <v>1974</v>
      </c>
      <c r="G1066" s="610"/>
      <c r="H1066" s="610"/>
      <c r="I1066" s="611" t="s">
        <v>175</v>
      </c>
      <c r="J1066" s="616">
        <v>167</v>
      </c>
      <c r="K1066" s="613">
        <v>167</v>
      </c>
      <c r="L1066" s="616">
        <v>167</v>
      </c>
      <c r="M1066" s="616">
        <v>167</v>
      </c>
      <c r="N1066" s="614">
        <v>167</v>
      </c>
      <c r="O1066" s="648"/>
      <c r="P1066" s="648"/>
      <c r="R1066" s="626"/>
      <c r="T1066" s="633"/>
      <c r="U1066" s="634"/>
    </row>
    <row r="1067" spans="2:21" ht="19.149999999999999" customHeight="1">
      <c r="B1067" s="747"/>
      <c r="C1067" s="656"/>
      <c r="D1067" s="618"/>
      <c r="E1067" s="619" t="s">
        <v>768</v>
      </c>
      <c r="F1067" s="620" t="s">
        <v>1163</v>
      </c>
      <c r="G1067" s="621">
        <f>SUM(G1065:G1066)</f>
        <v>0.8</v>
      </c>
      <c r="H1067" s="621">
        <f>SUM(H1065:H1066)</f>
        <v>0.8</v>
      </c>
      <c r="I1067" s="622"/>
      <c r="J1067" s="623">
        <f>SUM(J1065:J1066)</f>
        <v>312</v>
      </c>
      <c r="K1067" s="624">
        <f>SUM(K1065:K1066)</f>
        <v>309</v>
      </c>
      <c r="L1067" s="623">
        <f>SUM(L1065:L1066)</f>
        <v>331</v>
      </c>
      <c r="M1067" s="623">
        <f>SUM(M1065:M1066)</f>
        <v>331</v>
      </c>
      <c r="N1067" s="625">
        <f>SUM(N1065:N1066)</f>
        <v>303.74941999999999</v>
      </c>
      <c r="O1067" s="648"/>
      <c r="P1067" s="648"/>
      <c r="R1067" s="626"/>
      <c r="T1067" s="633"/>
      <c r="U1067" s="632"/>
    </row>
    <row r="1068" spans="2:21" ht="19.149999999999999" customHeight="1">
      <c r="B1068" s="704"/>
      <c r="C1068" s="684"/>
      <c r="D1068" s="705"/>
      <c r="E1068" s="695" t="s">
        <v>137</v>
      </c>
      <c r="F1068" s="687" t="s">
        <v>740</v>
      </c>
      <c r="G1068" s="706"/>
      <c r="H1068" s="706"/>
      <c r="I1068" s="707"/>
      <c r="J1068" s="690"/>
      <c r="K1068" s="693"/>
      <c r="L1068" s="690"/>
      <c r="M1068" s="690"/>
      <c r="N1068" s="708"/>
      <c r="O1068" s="648"/>
      <c r="P1068" s="648"/>
      <c r="R1068" s="626"/>
      <c r="T1068" s="633"/>
      <c r="U1068" s="632"/>
    </row>
    <row r="1069" spans="2:21" ht="28">
      <c r="B1069" s="606" t="s">
        <v>740</v>
      </c>
      <c r="C1069" s="654">
        <v>82</v>
      </c>
      <c r="D1069" s="607">
        <v>870</v>
      </c>
      <c r="E1069" s="608">
        <v>823300</v>
      </c>
      <c r="F1069" s="710" t="s">
        <v>2064</v>
      </c>
      <c r="G1069" s="610"/>
      <c r="H1069" s="610"/>
      <c r="I1069" s="611" t="s">
        <v>175</v>
      </c>
      <c r="J1069" s="616">
        <v>173</v>
      </c>
      <c r="K1069" s="613">
        <v>173</v>
      </c>
      <c r="L1069" s="616">
        <v>173</v>
      </c>
      <c r="M1069" s="616">
        <v>173</v>
      </c>
      <c r="N1069" s="614">
        <v>172.97192000000001</v>
      </c>
      <c r="O1069" s="648"/>
      <c r="P1069" s="648"/>
      <c r="R1069" s="626"/>
      <c r="T1069" s="633"/>
      <c r="U1069" s="634"/>
    </row>
    <row r="1070" spans="2:21" ht="19.149999999999999" customHeight="1">
      <c r="B1070" s="747"/>
      <c r="C1070" s="656"/>
      <c r="D1070" s="618"/>
      <c r="E1070" s="619" t="s">
        <v>137</v>
      </c>
      <c r="F1070" s="620" t="s">
        <v>1052</v>
      </c>
      <c r="G1070" s="621">
        <f>SUM(G1068:G1069)</f>
        <v>0</v>
      </c>
      <c r="H1070" s="621">
        <f>SUM(H1068:H1069)</f>
        <v>0</v>
      </c>
      <c r="I1070" s="622"/>
      <c r="J1070" s="623">
        <f>SUM(J1068:J1069)</f>
        <v>173</v>
      </c>
      <c r="K1070" s="624">
        <f>SUM(K1068:K1069)</f>
        <v>173</v>
      </c>
      <c r="L1070" s="623">
        <f>SUM(L1068:L1069)</f>
        <v>173</v>
      </c>
      <c r="M1070" s="623">
        <f>SUM(M1068:M1069)</f>
        <v>173</v>
      </c>
      <c r="N1070" s="625">
        <f>SUM(N1068:N1069)</f>
        <v>172.97192000000001</v>
      </c>
      <c r="O1070" s="648"/>
      <c r="P1070" s="648"/>
      <c r="R1070" s="626"/>
      <c r="T1070" s="633"/>
      <c r="U1070" s="632"/>
    </row>
    <row r="1071" spans="2:21" ht="19.149999999999999" customHeight="1">
      <c r="B1071" s="704"/>
      <c r="C1071" s="684"/>
      <c r="D1071" s="705"/>
      <c r="E1071" s="695" t="s">
        <v>1053</v>
      </c>
      <c r="F1071" s="687" t="s">
        <v>1054</v>
      </c>
      <c r="G1071" s="706"/>
      <c r="H1071" s="706"/>
      <c r="I1071" s="707"/>
      <c r="J1071" s="690"/>
      <c r="K1071" s="693"/>
      <c r="L1071" s="690"/>
      <c r="M1071" s="690"/>
      <c r="N1071" s="708"/>
      <c r="O1071" s="648"/>
      <c r="P1071" s="648"/>
      <c r="R1071" s="626"/>
      <c r="T1071" s="633"/>
      <c r="U1071" s="632"/>
    </row>
    <row r="1072" spans="2:21" ht="19.149999999999999" customHeight="1">
      <c r="B1072" s="606" t="s">
        <v>1055</v>
      </c>
      <c r="C1072" s="655">
        <v>82</v>
      </c>
      <c r="D1072" s="615">
        <v>100</v>
      </c>
      <c r="E1072" s="608">
        <v>823400</v>
      </c>
      <c r="F1072" s="609" t="s">
        <v>285</v>
      </c>
      <c r="G1072" s="610">
        <v>1.4</v>
      </c>
      <c r="H1072" s="610">
        <v>1.4</v>
      </c>
      <c r="I1072" s="611" t="s">
        <v>669</v>
      </c>
      <c r="J1072" s="616">
        <v>185</v>
      </c>
      <c r="K1072" s="613">
        <v>175</v>
      </c>
      <c r="L1072" s="616">
        <v>235</v>
      </c>
      <c r="M1072" s="616">
        <v>239</v>
      </c>
      <c r="N1072" s="614">
        <v>192.78066000000001</v>
      </c>
      <c r="O1072" s="648"/>
      <c r="P1072" s="648"/>
      <c r="R1072" s="626"/>
      <c r="T1072" s="633"/>
      <c r="U1072" s="634"/>
    </row>
    <row r="1073" spans="2:21" ht="19.149999999999999" customHeight="1">
      <c r="B1073" s="606" t="s">
        <v>1055</v>
      </c>
      <c r="C1073" s="654">
        <v>10</v>
      </c>
      <c r="D1073" s="607">
        <v>540</v>
      </c>
      <c r="E1073" s="608">
        <v>823400</v>
      </c>
      <c r="F1073" s="609" t="s">
        <v>1648</v>
      </c>
      <c r="G1073" s="610"/>
      <c r="H1073" s="610"/>
      <c r="I1073" s="611" t="s">
        <v>175</v>
      </c>
      <c r="J1073" s="616">
        <v>4</v>
      </c>
      <c r="K1073" s="613">
        <v>4</v>
      </c>
      <c r="L1073" s="616">
        <v>4</v>
      </c>
      <c r="M1073" s="616">
        <v>2</v>
      </c>
      <c r="N1073" s="614">
        <v>1.60812</v>
      </c>
      <c r="O1073" s="648"/>
      <c r="P1073" s="648"/>
      <c r="R1073" s="626"/>
      <c r="T1073" s="633"/>
      <c r="U1073" s="634"/>
    </row>
    <row r="1074" spans="2:21" ht="19.149999999999999" customHeight="1">
      <c r="B1074" s="606" t="s">
        <v>1055</v>
      </c>
      <c r="C1074" s="654">
        <v>82</v>
      </c>
      <c r="D1074" s="607">
        <v>780</v>
      </c>
      <c r="E1074" s="608">
        <v>823400</v>
      </c>
      <c r="F1074" s="609" t="s">
        <v>1623</v>
      </c>
      <c r="G1074" s="610"/>
      <c r="H1074" s="610"/>
      <c r="I1074" s="611" t="s">
        <v>44</v>
      </c>
      <c r="J1074" s="616">
        <v>22</v>
      </c>
      <c r="K1074" s="613">
        <v>5</v>
      </c>
      <c r="L1074" s="616">
        <v>22</v>
      </c>
      <c r="M1074" s="616">
        <v>22</v>
      </c>
      <c r="N1074" s="614">
        <v>16.785299999999999</v>
      </c>
      <c r="O1074" s="648"/>
      <c r="P1074" s="648"/>
      <c r="R1074" s="626"/>
      <c r="T1074" s="633"/>
      <c r="U1074" s="634"/>
    </row>
    <row r="1075" spans="2:21" ht="19.149999999999999" customHeight="1">
      <c r="B1075" s="747"/>
      <c r="C1075" s="656"/>
      <c r="D1075" s="618"/>
      <c r="E1075" s="619" t="s">
        <v>1053</v>
      </c>
      <c r="F1075" s="620" t="s">
        <v>665</v>
      </c>
      <c r="G1075" s="621">
        <f>SUM(G1072:G1074)</f>
        <v>1.4</v>
      </c>
      <c r="H1075" s="621">
        <f>SUM(H1072:H1074)</f>
        <v>1.4</v>
      </c>
      <c r="I1075" s="622"/>
      <c r="J1075" s="623">
        <f>SUM(J1072:J1074)</f>
        <v>211</v>
      </c>
      <c r="K1075" s="624">
        <f>SUM(K1072:K1074)</f>
        <v>184</v>
      </c>
      <c r="L1075" s="623">
        <f>SUM(L1072:L1074)</f>
        <v>261</v>
      </c>
      <c r="M1075" s="623">
        <f>SUM(M1072:M1074)</f>
        <v>263</v>
      </c>
      <c r="N1075" s="625">
        <f>SUM(N1072:N1074)</f>
        <v>211.17408000000003</v>
      </c>
      <c r="O1075" s="648"/>
      <c r="P1075" s="648"/>
      <c r="R1075" s="626"/>
      <c r="T1075" s="633"/>
      <c r="U1075" s="632"/>
    </row>
    <row r="1076" spans="2:21" ht="19.149999999999999" customHeight="1">
      <c r="B1076" s="704"/>
      <c r="C1076" s="684"/>
      <c r="D1076" s="705"/>
      <c r="E1076" s="695" t="s">
        <v>1809</v>
      </c>
      <c r="F1076" s="687" t="s">
        <v>1818</v>
      </c>
      <c r="G1076" s="706"/>
      <c r="H1076" s="706"/>
      <c r="I1076" s="707"/>
      <c r="J1076" s="690"/>
      <c r="K1076" s="693"/>
      <c r="L1076" s="690"/>
      <c r="M1076" s="690"/>
      <c r="N1076" s="708"/>
      <c r="O1076" s="648"/>
      <c r="P1076" s="648"/>
      <c r="R1076" s="626"/>
      <c r="T1076" s="633"/>
      <c r="U1076" s="632"/>
    </row>
    <row r="1077" spans="2:21" ht="19.149999999999999" customHeight="1">
      <c r="B1077" s="606" t="s">
        <v>1839</v>
      </c>
      <c r="C1077" s="655">
        <v>82</v>
      </c>
      <c r="D1077" s="615">
        <v>100</v>
      </c>
      <c r="E1077" s="608">
        <v>823500</v>
      </c>
      <c r="F1077" s="609" t="s">
        <v>285</v>
      </c>
      <c r="G1077" s="610">
        <v>0.3</v>
      </c>
      <c r="H1077" s="610">
        <v>0</v>
      </c>
      <c r="I1077" s="611" t="s">
        <v>669</v>
      </c>
      <c r="J1077" s="616">
        <v>75</v>
      </c>
      <c r="K1077" s="613">
        <v>0</v>
      </c>
      <c r="L1077" s="616">
        <v>55</v>
      </c>
      <c r="M1077" s="616">
        <v>75</v>
      </c>
      <c r="N1077" s="614">
        <v>0</v>
      </c>
      <c r="O1077" s="648"/>
      <c r="P1077" s="648"/>
      <c r="R1077" s="626"/>
      <c r="T1077" s="633"/>
      <c r="U1077" s="634"/>
    </row>
    <row r="1078" spans="2:21" ht="19.149999999999999" customHeight="1">
      <c r="B1078" s="747"/>
      <c r="C1078" s="656"/>
      <c r="D1078" s="618"/>
      <c r="E1078" s="619" t="s">
        <v>1809</v>
      </c>
      <c r="F1078" s="620" t="s">
        <v>1819</v>
      </c>
      <c r="G1078" s="621">
        <f>SUM(G1077)</f>
        <v>0.3</v>
      </c>
      <c r="H1078" s="621">
        <f>SUM(H1077)</f>
        <v>0</v>
      </c>
      <c r="I1078" s="622"/>
      <c r="J1078" s="623">
        <f>SUM(J1077:J1077)</f>
        <v>75</v>
      </c>
      <c r="K1078" s="624">
        <f>SUM(K1077:K1077)</f>
        <v>0</v>
      </c>
      <c r="L1078" s="623">
        <f>SUM(L1077:L1077)</f>
        <v>55</v>
      </c>
      <c r="M1078" s="623">
        <f>SUM(M1077:M1077)</f>
        <v>75</v>
      </c>
      <c r="N1078" s="625">
        <f>SUM(N1077:N1077)</f>
        <v>0</v>
      </c>
      <c r="O1078" s="648"/>
      <c r="P1078" s="648"/>
      <c r="R1078" s="626"/>
      <c r="T1078" s="633"/>
      <c r="U1078" s="632"/>
    </row>
    <row r="1079" spans="2:21" ht="19.149999999999999" customHeight="1">
      <c r="B1079" s="704"/>
      <c r="C1079" s="684"/>
      <c r="D1079" s="705"/>
      <c r="E1079" s="695" t="s">
        <v>666</v>
      </c>
      <c r="F1079" s="687" t="s">
        <v>1975</v>
      </c>
      <c r="G1079" s="706"/>
      <c r="H1079" s="706"/>
      <c r="I1079" s="707"/>
      <c r="J1079" s="690"/>
      <c r="K1079" s="693"/>
      <c r="L1079" s="690"/>
      <c r="M1079" s="690"/>
      <c r="N1079" s="708"/>
      <c r="O1079" s="648"/>
      <c r="P1079" s="648"/>
      <c r="R1079" s="626"/>
      <c r="T1079" s="633"/>
      <c r="U1079" s="632"/>
    </row>
    <row r="1080" spans="2:21" ht="19.149999999999999" customHeight="1">
      <c r="B1080" s="606" t="s">
        <v>1975</v>
      </c>
      <c r="C1080" s="654">
        <v>82</v>
      </c>
      <c r="D1080" s="607">
        <v>781</v>
      </c>
      <c r="E1080" s="608">
        <v>824100</v>
      </c>
      <c r="F1080" s="703" t="s">
        <v>2186</v>
      </c>
      <c r="G1080" s="610"/>
      <c r="H1080" s="610"/>
      <c r="I1080" s="611" t="s">
        <v>44</v>
      </c>
      <c r="J1080" s="616">
        <v>85</v>
      </c>
      <c r="K1080" s="613">
        <v>91</v>
      </c>
      <c r="L1080" s="616">
        <v>91</v>
      </c>
      <c r="M1080" s="616">
        <v>91</v>
      </c>
      <c r="N1080" s="614">
        <v>90.999250000000004</v>
      </c>
      <c r="O1080" s="648"/>
      <c r="P1080" s="648"/>
      <c r="R1080" s="626"/>
      <c r="T1080" s="633"/>
      <c r="U1080" s="634"/>
    </row>
    <row r="1081" spans="2:21" ht="19.149999999999999" customHeight="1">
      <c r="B1081" s="606" t="s">
        <v>1975</v>
      </c>
      <c r="C1081" s="654">
        <v>82</v>
      </c>
      <c r="D1081" s="607">
        <v>782</v>
      </c>
      <c r="E1081" s="608">
        <v>824100</v>
      </c>
      <c r="F1081" s="703" t="s">
        <v>2187</v>
      </c>
      <c r="G1081" s="610"/>
      <c r="H1081" s="610"/>
      <c r="I1081" s="611" t="s">
        <v>44</v>
      </c>
      <c r="J1081" s="616">
        <v>170</v>
      </c>
      <c r="K1081" s="613">
        <v>56</v>
      </c>
      <c r="L1081" s="616">
        <v>56</v>
      </c>
      <c r="M1081" s="616">
        <v>196</v>
      </c>
      <c r="N1081" s="614">
        <v>194.6403</v>
      </c>
      <c r="O1081" s="648"/>
      <c r="P1081" s="648"/>
      <c r="R1081" s="626"/>
      <c r="T1081" s="633"/>
      <c r="U1081" s="634"/>
    </row>
    <row r="1082" spans="2:21" ht="19.149999999999999" customHeight="1">
      <c r="B1082" s="606" t="s">
        <v>1975</v>
      </c>
      <c r="C1082" s="654">
        <v>82</v>
      </c>
      <c r="D1082" s="607">
        <v>783</v>
      </c>
      <c r="E1082" s="608">
        <v>824100</v>
      </c>
      <c r="F1082" s="703" t="s">
        <v>2188</v>
      </c>
      <c r="G1082" s="610"/>
      <c r="H1082" s="610"/>
      <c r="I1082" s="611" t="s">
        <v>44</v>
      </c>
      <c r="J1082" s="616">
        <v>150</v>
      </c>
      <c r="K1082" s="613">
        <v>167</v>
      </c>
      <c r="L1082" s="616">
        <v>167</v>
      </c>
      <c r="M1082" s="616">
        <v>167</v>
      </c>
      <c r="N1082" s="614">
        <v>166.99960000000002</v>
      </c>
      <c r="O1082" s="648"/>
      <c r="P1082" s="648"/>
      <c r="R1082" s="626"/>
      <c r="T1082" s="633"/>
      <c r="U1082" s="634"/>
    </row>
    <row r="1083" spans="2:21" ht="19.149999999999999" customHeight="1">
      <c r="B1083" s="606" t="s">
        <v>1975</v>
      </c>
      <c r="C1083" s="654">
        <v>82</v>
      </c>
      <c r="D1083" s="607">
        <v>784</v>
      </c>
      <c r="E1083" s="608">
        <v>824100</v>
      </c>
      <c r="F1083" s="703" t="s">
        <v>2189</v>
      </c>
      <c r="G1083" s="610"/>
      <c r="H1083" s="610"/>
      <c r="I1083" s="611" t="s">
        <v>44</v>
      </c>
      <c r="J1083" s="616">
        <v>65</v>
      </c>
      <c r="K1083" s="613">
        <v>78</v>
      </c>
      <c r="L1083" s="616">
        <v>78</v>
      </c>
      <c r="M1083" s="616">
        <v>78</v>
      </c>
      <c r="N1083" s="614">
        <v>77.999570000000006</v>
      </c>
      <c r="O1083" s="648"/>
      <c r="P1083" s="648"/>
      <c r="R1083" s="626"/>
      <c r="T1083" s="633"/>
      <c r="U1083" s="634"/>
    </row>
    <row r="1084" spans="2:21" ht="28">
      <c r="B1084" s="606" t="s">
        <v>1975</v>
      </c>
      <c r="C1084" s="654">
        <v>82</v>
      </c>
      <c r="D1084" s="607">
        <v>785</v>
      </c>
      <c r="E1084" s="608">
        <v>824100</v>
      </c>
      <c r="F1084" s="703" t="s">
        <v>1643</v>
      </c>
      <c r="G1084" s="610"/>
      <c r="H1084" s="610"/>
      <c r="I1084" s="611" t="s">
        <v>44</v>
      </c>
      <c r="J1084" s="616">
        <v>36</v>
      </c>
      <c r="K1084" s="613">
        <v>0</v>
      </c>
      <c r="L1084" s="616">
        <v>0</v>
      </c>
      <c r="M1084" s="616">
        <v>40</v>
      </c>
      <c r="N1084" s="614">
        <v>40</v>
      </c>
      <c r="O1084" s="648"/>
      <c r="P1084" s="648"/>
      <c r="R1084" s="626"/>
      <c r="T1084" s="633"/>
      <c r="U1084" s="634"/>
    </row>
    <row r="1085" spans="2:21" ht="19.149999999999999" customHeight="1">
      <c r="B1085" s="606" t="s">
        <v>1975</v>
      </c>
      <c r="C1085" s="654">
        <v>82</v>
      </c>
      <c r="D1085" s="607">
        <v>786</v>
      </c>
      <c r="E1085" s="608">
        <v>824100</v>
      </c>
      <c r="F1085" s="703" t="s">
        <v>2190</v>
      </c>
      <c r="G1085" s="610"/>
      <c r="H1085" s="610"/>
      <c r="I1085" s="611" t="s">
        <v>44</v>
      </c>
      <c r="J1085" s="616">
        <v>84</v>
      </c>
      <c r="K1085" s="613">
        <v>60</v>
      </c>
      <c r="L1085" s="616">
        <v>60</v>
      </c>
      <c r="M1085" s="616">
        <v>60</v>
      </c>
      <c r="N1085" s="614">
        <v>59.999499999999998</v>
      </c>
      <c r="O1085" s="648"/>
      <c r="P1085" s="648"/>
      <c r="R1085" s="626"/>
      <c r="T1085" s="633"/>
      <c r="U1085" s="634"/>
    </row>
    <row r="1086" spans="2:21" ht="19.149999999999999" customHeight="1">
      <c r="B1086" s="606" t="s">
        <v>1975</v>
      </c>
      <c r="C1086" s="654">
        <v>82</v>
      </c>
      <c r="D1086" s="607">
        <v>787</v>
      </c>
      <c r="E1086" s="608">
        <v>824100</v>
      </c>
      <c r="F1086" s="609" t="s">
        <v>1941</v>
      </c>
      <c r="G1086" s="610"/>
      <c r="H1086" s="610"/>
      <c r="I1086" s="611" t="s">
        <v>44</v>
      </c>
      <c r="J1086" s="616">
        <v>20</v>
      </c>
      <c r="K1086" s="613">
        <v>20</v>
      </c>
      <c r="L1086" s="616">
        <v>20</v>
      </c>
      <c r="M1086" s="616">
        <v>20</v>
      </c>
      <c r="N1086" s="614">
        <v>0</v>
      </c>
      <c r="O1086" s="648"/>
      <c r="P1086" s="648"/>
      <c r="R1086" s="626"/>
      <c r="T1086" s="633"/>
      <c r="U1086" s="634"/>
    </row>
    <row r="1087" spans="2:21" ht="19.149999999999999" customHeight="1">
      <c r="B1087" s="606" t="s">
        <v>1975</v>
      </c>
      <c r="C1087" s="654">
        <v>82</v>
      </c>
      <c r="D1087" s="607">
        <v>870</v>
      </c>
      <c r="E1087" s="608">
        <v>824100</v>
      </c>
      <c r="F1087" s="703" t="s">
        <v>88</v>
      </c>
      <c r="G1087" s="610"/>
      <c r="H1087" s="610"/>
      <c r="I1087" s="611" t="s">
        <v>175</v>
      </c>
      <c r="J1087" s="616">
        <v>1285</v>
      </c>
      <c r="K1087" s="613">
        <v>1285</v>
      </c>
      <c r="L1087" s="616">
        <v>1285</v>
      </c>
      <c r="M1087" s="616">
        <v>1285</v>
      </c>
      <c r="N1087" s="614">
        <v>1285</v>
      </c>
      <c r="O1087" s="648"/>
      <c r="P1087" s="648"/>
      <c r="R1087" s="626"/>
      <c r="T1087" s="633"/>
      <c r="U1087" s="634"/>
    </row>
    <row r="1088" spans="2:21" ht="21.5">
      <c r="B1088" s="606" t="s">
        <v>1975</v>
      </c>
      <c r="C1088" s="654">
        <v>82</v>
      </c>
      <c r="D1088" s="607">
        <v>875</v>
      </c>
      <c r="E1088" s="608">
        <v>824100</v>
      </c>
      <c r="F1088" s="703" t="s">
        <v>1976</v>
      </c>
      <c r="G1088" s="610"/>
      <c r="H1088" s="610"/>
      <c r="I1088" s="611" t="s">
        <v>44</v>
      </c>
      <c r="J1088" s="616">
        <v>56</v>
      </c>
      <c r="K1088" s="613">
        <v>56</v>
      </c>
      <c r="L1088" s="616">
        <v>56</v>
      </c>
      <c r="M1088" s="616">
        <v>56</v>
      </c>
      <c r="N1088" s="614">
        <v>56</v>
      </c>
      <c r="O1088" s="648"/>
      <c r="P1088" s="648"/>
      <c r="R1088" s="626"/>
      <c r="T1088" s="633"/>
      <c r="U1088" s="634"/>
    </row>
    <row r="1089" spans="2:21" ht="19.149999999999999" customHeight="1">
      <c r="B1089" s="606" t="s">
        <v>1975</v>
      </c>
      <c r="C1089" s="654">
        <v>82</v>
      </c>
      <c r="D1089" s="607">
        <v>876</v>
      </c>
      <c r="E1089" s="608">
        <v>824100</v>
      </c>
      <c r="F1089" s="703" t="s">
        <v>2065</v>
      </c>
      <c r="G1089" s="610"/>
      <c r="H1089" s="610"/>
      <c r="I1089" s="611" t="s">
        <v>175</v>
      </c>
      <c r="J1089" s="616">
        <v>759</v>
      </c>
      <c r="K1089" s="613">
        <v>759</v>
      </c>
      <c r="L1089" s="616">
        <v>759</v>
      </c>
      <c r="M1089" s="616">
        <v>759</v>
      </c>
      <c r="N1089" s="614">
        <v>758.53700000000003</v>
      </c>
      <c r="O1089" s="648"/>
      <c r="P1089" s="648"/>
      <c r="R1089" s="626"/>
      <c r="T1089" s="633"/>
      <c r="U1089" s="634"/>
    </row>
    <row r="1090" spans="2:21" ht="19.149999999999999" customHeight="1">
      <c r="B1090" s="747"/>
      <c r="C1090" s="656"/>
      <c r="D1090" s="618"/>
      <c r="E1090" s="619" t="s">
        <v>666</v>
      </c>
      <c r="F1090" s="620" t="s">
        <v>1978</v>
      </c>
      <c r="G1090" s="621">
        <f>SUM(G1089:G1089)</f>
        <v>0</v>
      </c>
      <c r="H1090" s="621">
        <f>SUM(H1089:H1089)</f>
        <v>0</v>
      </c>
      <c r="I1090" s="622"/>
      <c r="J1090" s="623">
        <f>SUM(J1080:J1089)</f>
        <v>2710</v>
      </c>
      <c r="K1090" s="624">
        <f>SUM(K1080:K1089)</f>
        <v>2572</v>
      </c>
      <c r="L1090" s="623">
        <f>SUM(L1080:L1089)</f>
        <v>2572</v>
      </c>
      <c r="M1090" s="623">
        <f>SUM(M1080:M1089)</f>
        <v>2752</v>
      </c>
      <c r="N1090" s="625">
        <f>SUM(N1080:N1089)</f>
        <v>2730.1752200000001</v>
      </c>
      <c r="O1090" s="648"/>
      <c r="P1090" s="648"/>
      <c r="R1090" s="626"/>
      <c r="T1090" s="633"/>
      <c r="U1090" s="632"/>
    </row>
    <row r="1091" spans="2:21" ht="28">
      <c r="B1091" s="704"/>
      <c r="C1091" s="684"/>
      <c r="D1091" s="705"/>
      <c r="E1091" s="695" t="s">
        <v>667</v>
      </c>
      <c r="F1091" s="687" t="s">
        <v>1977</v>
      </c>
      <c r="G1091" s="706"/>
      <c r="H1091" s="706"/>
      <c r="I1091" s="707"/>
      <c r="J1091" s="690"/>
      <c r="K1091" s="693"/>
      <c r="L1091" s="690"/>
      <c r="M1091" s="690"/>
      <c r="N1091" s="708"/>
      <c r="O1091" s="648"/>
      <c r="P1091" s="648"/>
      <c r="R1091" s="626"/>
      <c r="T1091" s="633"/>
      <c r="U1091" s="632"/>
    </row>
    <row r="1092" spans="2:21" ht="19.149999999999999" customHeight="1">
      <c r="B1092" s="606" t="s">
        <v>875</v>
      </c>
      <c r="C1092" s="655">
        <v>82</v>
      </c>
      <c r="D1092" s="615">
        <v>100</v>
      </c>
      <c r="E1092" s="608">
        <v>824200</v>
      </c>
      <c r="F1092" s="609" t="s">
        <v>1936</v>
      </c>
      <c r="G1092" s="610">
        <v>1</v>
      </c>
      <c r="H1092" s="610">
        <v>1</v>
      </c>
      <c r="I1092" s="611" t="s">
        <v>669</v>
      </c>
      <c r="J1092" s="616">
        <v>147</v>
      </c>
      <c r="K1092" s="613">
        <v>134</v>
      </c>
      <c r="L1092" s="616">
        <v>152</v>
      </c>
      <c r="M1092" s="616">
        <v>155</v>
      </c>
      <c r="N1092" s="614">
        <v>0</v>
      </c>
      <c r="O1092" s="648"/>
      <c r="P1092" s="648"/>
      <c r="R1092" s="626"/>
      <c r="T1092" s="633"/>
      <c r="U1092" s="634"/>
    </row>
    <row r="1093" spans="2:21" ht="19.149999999999999" customHeight="1">
      <c r="B1093" s="606" t="s">
        <v>875</v>
      </c>
      <c r="C1093" s="654">
        <v>82</v>
      </c>
      <c r="D1093" s="607">
        <v>101</v>
      </c>
      <c r="E1093" s="608">
        <v>824200</v>
      </c>
      <c r="F1093" s="609" t="s">
        <v>1095</v>
      </c>
      <c r="G1093" s="610">
        <v>0</v>
      </c>
      <c r="H1093" s="610">
        <v>0</v>
      </c>
      <c r="I1093" s="611" t="s">
        <v>669</v>
      </c>
      <c r="J1093" s="616">
        <v>0</v>
      </c>
      <c r="K1093" s="613">
        <v>0</v>
      </c>
      <c r="L1093" s="616">
        <v>0</v>
      </c>
      <c r="M1093" s="616">
        <v>0</v>
      </c>
      <c r="N1093" s="614">
        <v>22.4312</v>
      </c>
      <c r="O1093" s="648"/>
      <c r="P1093" s="648"/>
      <c r="R1093" s="626"/>
      <c r="T1093" s="633"/>
      <c r="U1093" s="634"/>
    </row>
    <row r="1094" spans="2:21" ht="21.5">
      <c r="B1094" s="606" t="s">
        <v>875</v>
      </c>
      <c r="C1094" s="654">
        <v>82</v>
      </c>
      <c r="D1094" s="607">
        <v>780</v>
      </c>
      <c r="E1094" s="608">
        <v>824200</v>
      </c>
      <c r="F1094" s="703" t="s">
        <v>2191</v>
      </c>
      <c r="G1094" s="610"/>
      <c r="H1094" s="610"/>
      <c r="I1094" s="611" t="s">
        <v>44</v>
      </c>
      <c r="J1094" s="616">
        <v>65</v>
      </c>
      <c r="K1094" s="613">
        <v>68</v>
      </c>
      <c r="L1094" s="616">
        <v>68</v>
      </c>
      <c r="M1094" s="616">
        <v>78</v>
      </c>
      <c r="N1094" s="614">
        <v>77.64</v>
      </c>
      <c r="O1094" s="648"/>
      <c r="P1094" s="648"/>
      <c r="R1094" s="626"/>
      <c r="T1094" s="633"/>
      <c r="U1094" s="634"/>
    </row>
    <row r="1095" spans="2:21" ht="21.5">
      <c r="B1095" s="606" t="s">
        <v>875</v>
      </c>
      <c r="C1095" s="654">
        <v>82</v>
      </c>
      <c r="D1095" s="607">
        <v>781</v>
      </c>
      <c r="E1095" s="608">
        <v>824200</v>
      </c>
      <c r="F1095" s="703" t="s">
        <v>2192</v>
      </c>
      <c r="G1095" s="610"/>
      <c r="H1095" s="610"/>
      <c r="I1095" s="611" t="s">
        <v>44</v>
      </c>
      <c r="J1095" s="616">
        <v>65</v>
      </c>
      <c r="K1095" s="613">
        <v>51</v>
      </c>
      <c r="L1095" s="616">
        <v>51</v>
      </c>
      <c r="M1095" s="616">
        <v>76</v>
      </c>
      <c r="N1095" s="614">
        <v>66.052700000000002</v>
      </c>
      <c r="O1095" s="648"/>
      <c r="P1095" s="648"/>
      <c r="R1095" s="626"/>
      <c r="T1095" s="633"/>
      <c r="U1095" s="634"/>
    </row>
    <row r="1096" spans="2:21" ht="19.149999999999999" customHeight="1">
      <c r="B1096" s="606" t="s">
        <v>875</v>
      </c>
      <c r="C1096" s="654">
        <v>82</v>
      </c>
      <c r="D1096" s="607">
        <v>870</v>
      </c>
      <c r="E1096" s="608">
        <v>824200</v>
      </c>
      <c r="F1096" s="703" t="s">
        <v>88</v>
      </c>
      <c r="G1096" s="610"/>
      <c r="H1096" s="610"/>
      <c r="I1096" s="611" t="s">
        <v>175</v>
      </c>
      <c r="J1096" s="616">
        <v>1157</v>
      </c>
      <c r="K1096" s="613">
        <v>1157</v>
      </c>
      <c r="L1096" s="616">
        <v>1157</v>
      </c>
      <c r="M1096" s="616">
        <v>1157</v>
      </c>
      <c r="N1096" s="614">
        <v>1127</v>
      </c>
      <c r="O1096" s="648"/>
      <c r="P1096" s="648"/>
      <c r="R1096" s="626"/>
      <c r="T1096" s="633"/>
      <c r="U1096" s="634"/>
    </row>
    <row r="1097" spans="2:21" ht="28">
      <c r="B1097" s="747"/>
      <c r="C1097" s="656"/>
      <c r="D1097" s="618"/>
      <c r="E1097" s="619" t="s">
        <v>667</v>
      </c>
      <c r="F1097" s="620" t="s">
        <v>1979</v>
      </c>
      <c r="G1097" s="621">
        <f>SUM(G1092:G1096)</f>
        <v>1</v>
      </c>
      <c r="H1097" s="621">
        <f>SUM(H1092:H1096)</f>
        <v>1</v>
      </c>
      <c r="I1097" s="622"/>
      <c r="J1097" s="623">
        <f>SUM(J1092:J1096)</f>
        <v>1434</v>
      </c>
      <c r="K1097" s="624">
        <f>SUM(K1092:K1096)</f>
        <v>1410</v>
      </c>
      <c r="L1097" s="623">
        <f>SUM(L1092:L1096)</f>
        <v>1428</v>
      </c>
      <c r="M1097" s="623">
        <f>SUM(M1092:M1096)</f>
        <v>1466</v>
      </c>
      <c r="N1097" s="625">
        <f>SUM(N1092:N1096)</f>
        <v>1293.1239</v>
      </c>
      <c r="O1097" s="648"/>
      <c r="P1097" s="648"/>
      <c r="R1097" s="626"/>
      <c r="T1097" s="633"/>
      <c r="U1097" s="632"/>
    </row>
    <row r="1098" spans="2:21" ht="28">
      <c r="B1098" s="704"/>
      <c r="C1098" s="684"/>
      <c r="D1098" s="705"/>
      <c r="E1098" s="695" t="s">
        <v>784</v>
      </c>
      <c r="F1098" s="687" t="s">
        <v>1980</v>
      </c>
      <c r="G1098" s="706"/>
      <c r="H1098" s="706"/>
      <c r="I1098" s="707"/>
      <c r="J1098" s="690"/>
      <c r="K1098" s="693"/>
      <c r="L1098" s="690"/>
      <c r="M1098" s="690"/>
      <c r="N1098" s="708"/>
      <c r="O1098" s="648"/>
      <c r="P1098" s="648"/>
      <c r="R1098" s="626"/>
      <c r="T1098" s="633"/>
      <c r="U1098" s="632"/>
    </row>
    <row r="1099" spans="2:21" ht="14">
      <c r="B1099" s="606" t="s">
        <v>876</v>
      </c>
      <c r="C1099" s="654">
        <v>82</v>
      </c>
      <c r="D1099" s="607">
        <v>780</v>
      </c>
      <c r="E1099" s="608">
        <v>824300</v>
      </c>
      <c r="F1099" s="724" t="s">
        <v>2193</v>
      </c>
      <c r="G1099" s="610"/>
      <c r="H1099" s="610"/>
      <c r="I1099" s="611" t="s">
        <v>44</v>
      </c>
      <c r="J1099" s="616">
        <v>55</v>
      </c>
      <c r="K1099" s="613">
        <v>38</v>
      </c>
      <c r="L1099" s="616">
        <v>38</v>
      </c>
      <c r="M1099" s="616">
        <v>38</v>
      </c>
      <c r="N1099" s="614">
        <v>38</v>
      </c>
      <c r="O1099" s="648"/>
      <c r="P1099" s="648"/>
      <c r="R1099" s="626"/>
      <c r="T1099" s="633"/>
      <c r="U1099" s="634"/>
    </row>
    <row r="1100" spans="2:21" ht="19.149999999999999" customHeight="1">
      <c r="B1100" s="606" t="s">
        <v>876</v>
      </c>
      <c r="C1100" s="654">
        <v>82</v>
      </c>
      <c r="D1100" s="607">
        <v>870</v>
      </c>
      <c r="E1100" s="608">
        <v>824300</v>
      </c>
      <c r="F1100" s="724" t="s">
        <v>877</v>
      </c>
      <c r="G1100" s="610"/>
      <c r="H1100" s="610"/>
      <c r="I1100" s="611" t="s">
        <v>175</v>
      </c>
      <c r="J1100" s="616">
        <v>1336</v>
      </c>
      <c r="K1100" s="613">
        <v>1336</v>
      </c>
      <c r="L1100" s="616">
        <v>1336</v>
      </c>
      <c r="M1100" s="616">
        <v>1336</v>
      </c>
      <c r="N1100" s="614">
        <v>1336</v>
      </c>
      <c r="O1100" s="648"/>
      <c r="P1100" s="648"/>
      <c r="R1100" s="626"/>
      <c r="T1100" s="633"/>
      <c r="U1100" s="634"/>
    </row>
    <row r="1101" spans="2:21" ht="28">
      <c r="B1101" s="747"/>
      <c r="C1101" s="656"/>
      <c r="D1101" s="618"/>
      <c r="E1101" s="619" t="s">
        <v>784</v>
      </c>
      <c r="F1101" s="620" t="s">
        <v>1981</v>
      </c>
      <c r="G1101" s="621">
        <f>SUM(G1100:G1100)</f>
        <v>0</v>
      </c>
      <c r="H1101" s="621">
        <f>SUM(H1100:H1100)</f>
        <v>0</v>
      </c>
      <c r="I1101" s="622"/>
      <c r="J1101" s="623">
        <f>SUM(J1098:J1100)</f>
        <v>1391</v>
      </c>
      <c r="K1101" s="624">
        <f>SUM(K1098:K1100)</f>
        <v>1374</v>
      </c>
      <c r="L1101" s="623">
        <f>SUM(L1098:L1100)</f>
        <v>1374</v>
      </c>
      <c r="M1101" s="623">
        <f>SUM(M1098:M1100)</f>
        <v>1374</v>
      </c>
      <c r="N1101" s="625">
        <f>SUM(N1098:N1100)</f>
        <v>1374</v>
      </c>
      <c r="O1101" s="648"/>
      <c r="P1101" s="648"/>
      <c r="R1101" s="626"/>
      <c r="T1101" s="633"/>
      <c r="U1101" s="632"/>
    </row>
    <row r="1102" spans="2:21" ht="28">
      <c r="B1102" s="704"/>
      <c r="C1102" s="684"/>
      <c r="D1102" s="705"/>
      <c r="E1102" s="695" t="s">
        <v>961</v>
      </c>
      <c r="F1102" s="687" t="s">
        <v>1982</v>
      </c>
      <c r="G1102" s="706"/>
      <c r="H1102" s="706"/>
      <c r="I1102" s="707"/>
      <c r="J1102" s="690"/>
      <c r="K1102" s="693"/>
      <c r="L1102" s="690"/>
      <c r="M1102" s="690"/>
      <c r="N1102" s="708"/>
      <c r="O1102" s="648"/>
      <c r="P1102" s="648"/>
      <c r="R1102" s="626"/>
      <c r="T1102" s="633"/>
      <c r="U1102" s="632"/>
    </row>
    <row r="1103" spans="2:21" ht="14">
      <c r="B1103" s="606" t="s">
        <v>878</v>
      </c>
      <c r="C1103" s="654">
        <v>82</v>
      </c>
      <c r="D1103" s="607">
        <v>101</v>
      </c>
      <c r="E1103" s="608">
        <v>824510</v>
      </c>
      <c r="F1103" s="609" t="s">
        <v>851</v>
      </c>
      <c r="G1103" s="610">
        <v>0.7</v>
      </c>
      <c r="H1103" s="610">
        <v>1.2</v>
      </c>
      <c r="I1103" s="611" t="s">
        <v>669</v>
      </c>
      <c r="J1103" s="616">
        <f>220-90</f>
        <v>130</v>
      </c>
      <c r="K1103" s="613">
        <v>215</v>
      </c>
      <c r="L1103" s="616">
        <v>226</v>
      </c>
      <c r="M1103" s="616">
        <v>226</v>
      </c>
      <c r="N1103" s="614">
        <v>205.90688</v>
      </c>
      <c r="O1103" s="648"/>
      <c r="P1103" s="648"/>
      <c r="R1103" s="626"/>
      <c r="T1103" s="633"/>
      <c r="U1103" s="634"/>
    </row>
    <row r="1104" spans="2:21" ht="19.149999999999999" customHeight="1">
      <c r="B1104" s="606" t="s">
        <v>878</v>
      </c>
      <c r="C1104" s="654">
        <v>82</v>
      </c>
      <c r="D1104" s="607">
        <v>780</v>
      </c>
      <c r="E1104" s="608">
        <v>824510</v>
      </c>
      <c r="F1104" s="703" t="s">
        <v>2194</v>
      </c>
      <c r="G1104" s="610"/>
      <c r="H1104" s="610"/>
      <c r="I1104" s="611" t="s">
        <v>44</v>
      </c>
      <c r="J1104" s="616">
        <v>55</v>
      </c>
      <c r="K1104" s="613">
        <v>86</v>
      </c>
      <c r="L1104" s="616">
        <v>86</v>
      </c>
      <c r="M1104" s="616">
        <v>86</v>
      </c>
      <c r="N1104" s="614">
        <v>86</v>
      </c>
      <c r="O1104" s="648"/>
      <c r="P1104" s="648"/>
      <c r="R1104" s="626"/>
      <c r="T1104" s="633"/>
      <c r="U1104" s="634"/>
    </row>
    <row r="1105" spans="2:21" ht="19.149999999999999" customHeight="1">
      <c r="B1105" s="606" t="s">
        <v>878</v>
      </c>
      <c r="C1105" s="654">
        <v>82</v>
      </c>
      <c r="D1105" s="607">
        <v>870</v>
      </c>
      <c r="E1105" s="608">
        <v>824510</v>
      </c>
      <c r="F1105" s="703" t="s">
        <v>1437</v>
      </c>
      <c r="G1105" s="610"/>
      <c r="H1105" s="610"/>
      <c r="I1105" s="611" t="s">
        <v>175</v>
      </c>
      <c r="J1105" s="616">
        <f>780+90</f>
        <v>870</v>
      </c>
      <c r="K1105" s="613">
        <v>780</v>
      </c>
      <c r="L1105" s="616">
        <v>780</v>
      </c>
      <c r="M1105" s="616">
        <v>780</v>
      </c>
      <c r="N1105" s="614">
        <v>780</v>
      </c>
      <c r="O1105" s="648"/>
      <c r="P1105" s="648"/>
      <c r="R1105" s="626"/>
      <c r="T1105" s="633"/>
      <c r="U1105" s="634"/>
    </row>
    <row r="1106" spans="2:21" ht="28">
      <c r="B1106" s="747"/>
      <c r="C1106" s="656"/>
      <c r="D1106" s="618"/>
      <c r="E1106" s="619" t="s">
        <v>961</v>
      </c>
      <c r="F1106" s="620" t="s">
        <v>1983</v>
      </c>
      <c r="G1106" s="621">
        <f>SUM(G1103:G1105)</f>
        <v>0.7</v>
      </c>
      <c r="H1106" s="621">
        <f>SUM(H1103:H1105)</f>
        <v>1.2</v>
      </c>
      <c r="I1106" s="622"/>
      <c r="J1106" s="623">
        <f>SUM(J1103:J1105)</f>
        <v>1055</v>
      </c>
      <c r="K1106" s="624">
        <f>SUM(K1103:K1105)</f>
        <v>1081</v>
      </c>
      <c r="L1106" s="623">
        <f>SUM(L1103:L1105)</f>
        <v>1092</v>
      </c>
      <c r="M1106" s="623">
        <f>SUM(M1103:M1105)</f>
        <v>1092</v>
      </c>
      <c r="N1106" s="625">
        <f>SUM(N1103:N1105)</f>
        <v>1071.90688</v>
      </c>
      <c r="O1106" s="648"/>
      <c r="P1106" s="648"/>
      <c r="R1106" s="626"/>
      <c r="T1106" s="633"/>
      <c r="U1106" s="632"/>
    </row>
    <row r="1107" spans="2:21" ht="19.149999999999999" customHeight="1">
      <c r="B1107" s="704"/>
      <c r="C1107" s="684"/>
      <c r="D1107" s="705"/>
      <c r="E1107" s="695" t="s">
        <v>1810</v>
      </c>
      <c r="F1107" s="687" t="s">
        <v>1820</v>
      </c>
      <c r="G1107" s="706"/>
      <c r="H1107" s="706"/>
      <c r="I1107" s="707"/>
      <c r="J1107" s="690"/>
      <c r="K1107" s="693"/>
      <c r="L1107" s="690"/>
      <c r="M1107" s="690"/>
      <c r="N1107" s="708"/>
      <c r="O1107" s="648"/>
      <c r="P1107" s="648"/>
      <c r="R1107" s="626"/>
      <c r="T1107" s="633"/>
      <c r="U1107" s="632"/>
    </row>
    <row r="1108" spans="2:21" ht="19.149999999999999" customHeight="1">
      <c r="B1108" s="606" t="s">
        <v>1820</v>
      </c>
      <c r="C1108" s="654">
        <v>82</v>
      </c>
      <c r="D1108" s="607">
        <v>430</v>
      </c>
      <c r="E1108" s="608">
        <v>824520</v>
      </c>
      <c r="F1108" s="609" t="s">
        <v>192</v>
      </c>
      <c r="G1108" s="610"/>
      <c r="H1108" s="610"/>
      <c r="I1108" s="611" t="s">
        <v>175</v>
      </c>
      <c r="J1108" s="616">
        <v>120</v>
      </c>
      <c r="K1108" s="613">
        <v>69</v>
      </c>
      <c r="L1108" s="616">
        <v>120</v>
      </c>
      <c r="M1108" s="616">
        <v>120</v>
      </c>
      <c r="N1108" s="614">
        <v>34.659999999999997</v>
      </c>
      <c r="O1108" s="648"/>
      <c r="P1108" s="648"/>
      <c r="R1108" s="626"/>
      <c r="T1108" s="633"/>
      <c r="U1108" s="634"/>
    </row>
    <row r="1109" spans="2:21" ht="19.149999999999999" customHeight="1">
      <c r="B1109" s="606" t="s">
        <v>1820</v>
      </c>
      <c r="C1109" s="655">
        <v>82</v>
      </c>
      <c r="D1109" s="615">
        <v>750</v>
      </c>
      <c r="E1109" s="608">
        <v>824520</v>
      </c>
      <c r="F1109" s="609" t="s">
        <v>720</v>
      </c>
      <c r="G1109" s="610"/>
      <c r="H1109" s="610"/>
      <c r="I1109" s="611" t="s">
        <v>175</v>
      </c>
      <c r="J1109" s="616">
        <v>128</v>
      </c>
      <c r="K1109" s="613">
        <v>55</v>
      </c>
      <c r="L1109" s="616">
        <v>152</v>
      </c>
      <c r="M1109" s="616">
        <v>167</v>
      </c>
      <c r="N1109" s="614">
        <v>27.01296</v>
      </c>
      <c r="O1109" s="648"/>
      <c r="P1109" s="648"/>
      <c r="R1109" s="626"/>
      <c r="T1109" s="633"/>
      <c r="U1109" s="634"/>
    </row>
    <row r="1110" spans="2:21" ht="21.5">
      <c r="B1110" s="606" t="s">
        <v>1820</v>
      </c>
      <c r="C1110" s="654">
        <v>82</v>
      </c>
      <c r="D1110" s="607">
        <v>780</v>
      </c>
      <c r="E1110" s="608">
        <v>824520</v>
      </c>
      <c r="F1110" s="609" t="s">
        <v>2001</v>
      </c>
      <c r="G1110" s="610"/>
      <c r="H1110" s="610"/>
      <c r="I1110" s="611" t="s">
        <v>44</v>
      </c>
      <c r="J1110" s="616">
        <v>18</v>
      </c>
      <c r="K1110" s="613">
        <v>20</v>
      </c>
      <c r="L1110" s="616">
        <v>20</v>
      </c>
      <c r="M1110" s="616">
        <v>20</v>
      </c>
      <c r="N1110" s="614">
        <v>0</v>
      </c>
      <c r="O1110" s="648"/>
      <c r="P1110" s="648"/>
      <c r="R1110" s="626"/>
      <c r="T1110" s="633"/>
      <c r="U1110" s="634"/>
    </row>
    <row r="1111" spans="2:21" ht="28">
      <c r="B1111" s="606" t="s">
        <v>1820</v>
      </c>
      <c r="C1111" s="654">
        <v>82</v>
      </c>
      <c r="D1111" s="607">
        <v>781</v>
      </c>
      <c r="E1111" s="608">
        <v>824520</v>
      </c>
      <c r="F1111" s="609" t="s">
        <v>2195</v>
      </c>
      <c r="G1111" s="610"/>
      <c r="H1111" s="610"/>
      <c r="I1111" s="611" t="s">
        <v>44</v>
      </c>
      <c r="J1111" s="616">
        <v>55</v>
      </c>
      <c r="K1111" s="613">
        <v>0</v>
      </c>
      <c r="L1111" s="616">
        <v>0</v>
      </c>
      <c r="M1111" s="616">
        <v>0</v>
      </c>
      <c r="N1111" s="614">
        <v>0</v>
      </c>
      <c r="O1111" s="648"/>
      <c r="P1111" s="648"/>
      <c r="R1111" s="626"/>
      <c r="T1111" s="633"/>
      <c r="U1111" s="634"/>
    </row>
    <row r="1112" spans="2:21" ht="19.149999999999999" customHeight="1">
      <c r="B1112" s="606" t="s">
        <v>1820</v>
      </c>
      <c r="C1112" s="654">
        <v>82</v>
      </c>
      <c r="D1112" s="607">
        <v>980</v>
      </c>
      <c r="E1112" s="608">
        <v>824520</v>
      </c>
      <c r="F1112" s="609" t="s">
        <v>2180</v>
      </c>
      <c r="G1112" s="610"/>
      <c r="H1112" s="610"/>
      <c r="I1112" s="611" t="s">
        <v>44</v>
      </c>
      <c r="J1112" s="616">
        <v>0</v>
      </c>
      <c r="K1112" s="613">
        <v>0</v>
      </c>
      <c r="L1112" s="616">
        <v>0</v>
      </c>
      <c r="M1112" s="616">
        <v>0</v>
      </c>
      <c r="N1112" s="614">
        <v>70.680250000000001</v>
      </c>
      <c r="O1112" s="648"/>
      <c r="P1112" s="648"/>
      <c r="R1112" s="626"/>
      <c r="T1112" s="633"/>
      <c r="U1112" s="634"/>
    </row>
    <row r="1113" spans="2:21" ht="19.149999999999999" customHeight="1">
      <c r="B1113" s="747"/>
      <c r="C1113" s="656"/>
      <c r="D1113" s="618"/>
      <c r="E1113" s="619" t="s">
        <v>1810</v>
      </c>
      <c r="F1113" s="620" t="s">
        <v>1821</v>
      </c>
      <c r="G1113" s="621">
        <f>SUM(G1108:G1112)</f>
        <v>0</v>
      </c>
      <c r="H1113" s="621">
        <f>SUM(H1108:H1112)</f>
        <v>0</v>
      </c>
      <c r="I1113" s="622"/>
      <c r="J1113" s="623">
        <f>SUM(J1108:J1112)</f>
        <v>321</v>
      </c>
      <c r="K1113" s="624">
        <f>SUM(K1108:K1112)</f>
        <v>144</v>
      </c>
      <c r="L1113" s="623">
        <f>SUM(L1108:L1112)</f>
        <v>292</v>
      </c>
      <c r="M1113" s="623">
        <f>SUM(M1108:M1112)</f>
        <v>307</v>
      </c>
      <c r="N1113" s="625">
        <f>SUM(N1108:N1112)</f>
        <v>132.35320999999999</v>
      </c>
      <c r="O1113" s="648"/>
      <c r="P1113" s="648"/>
      <c r="R1113" s="626"/>
      <c r="T1113" s="633"/>
      <c r="U1113" s="632"/>
    </row>
    <row r="1114" spans="2:21" ht="28">
      <c r="B1114" s="704"/>
      <c r="C1114" s="684"/>
      <c r="D1114" s="705"/>
      <c r="E1114" s="695" t="s">
        <v>1184</v>
      </c>
      <c r="F1114" s="687" t="s">
        <v>1984</v>
      </c>
      <c r="G1114" s="706"/>
      <c r="H1114" s="706"/>
      <c r="I1114" s="707"/>
      <c r="J1114" s="690"/>
      <c r="K1114" s="693"/>
      <c r="L1114" s="690"/>
      <c r="M1114" s="690"/>
      <c r="N1114" s="708"/>
      <c r="O1114" s="648"/>
      <c r="P1114" s="648"/>
      <c r="R1114" s="626"/>
      <c r="T1114" s="633"/>
      <c r="U1114" s="632"/>
    </row>
    <row r="1115" spans="2:21" ht="19.149999999999999" customHeight="1">
      <c r="B1115" s="606" t="s">
        <v>223</v>
      </c>
      <c r="C1115" s="654">
        <v>82</v>
      </c>
      <c r="D1115" s="607">
        <v>102</v>
      </c>
      <c r="E1115" s="608">
        <v>824530</v>
      </c>
      <c r="F1115" s="609" t="s">
        <v>1393</v>
      </c>
      <c r="G1115" s="610">
        <v>1</v>
      </c>
      <c r="H1115" s="610">
        <v>1</v>
      </c>
      <c r="I1115" s="611" t="s">
        <v>669</v>
      </c>
      <c r="J1115" s="616">
        <v>210</v>
      </c>
      <c r="K1115" s="613">
        <v>205</v>
      </c>
      <c r="L1115" s="616">
        <v>171</v>
      </c>
      <c r="M1115" s="616">
        <v>171</v>
      </c>
      <c r="N1115" s="614">
        <v>168.62792000000002</v>
      </c>
      <c r="O1115" s="648"/>
      <c r="P1115" s="648"/>
      <c r="R1115" s="626"/>
      <c r="T1115" s="633"/>
      <c r="U1115" s="634"/>
    </row>
    <row r="1116" spans="2:21" ht="14">
      <c r="B1116" s="606" t="s">
        <v>223</v>
      </c>
      <c r="C1116" s="654">
        <v>82</v>
      </c>
      <c r="D1116" s="607">
        <v>103</v>
      </c>
      <c r="E1116" s="608">
        <v>824530</v>
      </c>
      <c r="F1116" s="609" t="s">
        <v>985</v>
      </c>
      <c r="G1116" s="610">
        <v>0.5</v>
      </c>
      <c r="H1116" s="610">
        <v>0.5</v>
      </c>
      <c r="I1116" s="611" t="s">
        <v>669</v>
      </c>
      <c r="J1116" s="616">
        <v>74</v>
      </c>
      <c r="K1116" s="613">
        <v>68</v>
      </c>
      <c r="L1116" s="616">
        <v>74</v>
      </c>
      <c r="M1116" s="616">
        <v>74</v>
      </c>
      <c r="N1116" s="614">
        <v>65.47278</v>
      </c>
      <c r="O1116" s="648"/>
      <c r="P1116" s="648"/>
      <c r="R1116" s="626"/>
      <c r="T1116" s="633"/>
      <c r="U1116" s="634"/>
    </row>
    <row r="1117" spans="2:21" ht="14">
      <c r="B1117" s="606" t="s">
        <v>223</v>
      </c>
      <c r="C1117" s="654">
        <v>82</v>
      </c>
      <c r="D1117" s="607">
        <v>780</v>
      </c>
      <c r="E1117" s="608">
        <v>824530</v>
      </c>
      <c r="F1117" s="609" t="s">
        <v>1587</v>
      </c>
      <c r="G1117" s="610"/>
      <c r="H1117" s="610"/>
      <c r="I1117" s="611" t="s">
        <v>44</v>
      </c>
      <c r="J1117" s="616">
        <v>55</v>
      </c>
      <c r="K1117" s="613">
        <v>63</v>
      </c>
      <c r="L1117" s="616">
        <v>63</v>
      </c>
      <c r="M1117" s="616">
        <v>63</v>
      </c>
      <c r="N1117" s="614">
        <v>63</v>
      </c>
      <c r="O1117" s="648"/>
      <c r="P1117" s="648"/>
      <c r="R1117" s="626"/>
      <c r="T1117" s="633"/>
      <c r="U1117" s="634"/>
    </row>
    <row r="1118" spans="2:21" ht="19.149999999999999" customHeight="1">
      <c r="B1118" s="606" t="s">
        <v>223</v>
      </c>
      <c r="C1118" s="654">
        <v>82</v>
      </c>
      <c r="D1118" s="607">
        <v>870</v>
      </c>
      <c r="E1118" s="608">
        <v>824530</v>
      </c>
      <c r="F1118" s="609" t="s">
        <v>1986</v>
      </c>
      <c r="G1118" s="610"/>
      <c r="H1118" s="610"/>
      <c r="I1118" s="611" t="s">
        <v>175</v>
      </c>
      <c r="J1118" s="616">
        <v>517</v>
      </c>
      <c r="K1118" s="613">
        <v>517</v>
      </c>
      <c r="L1118" s="616">
        <v>517</v>
      </c>
      <c r="M1118" s="616">
        <v>517</v>
      </c>
      <c r="N1118" s="614">
        <v>500</v>
      </c>
      <c r="O1118" s="648"/>
      <c r="P1118" s="648"/>
      <c r="R1118" s="626"/>
      <c r="T1118" s="633"/>
      <c r="U1118" s="634"/>
    </row>
    <row r="1119" spans="2:21" ht="28">
      <c r="B1119" s="747"/>
      <c r="C1119" s="656"/>
      <c r="D1119" s="618"/>
      <c r="E1119" s="619" t="s">
        <v>1184</v>
      </c>
      <c r="F1119" s="820" t="s">
        <v>1985</v>
      </c>
      <c r="G1119" s="716">
        <f>SUM(G1115:G1118)</f>
        <v>1.5</v>
      </c>
      <c r="H1119" s="716">
        <f>SUM(H1115:H1118)</f>
        <v>1.5</v>
      </c>
      <c r="I1119" s="717"/>
      <c r="J1119" s="718">
        <f>SUM(J1115:J1118)</f>
        <v>856</v>
      </c>
      <c r="K1119" s="719">
        <f>SUM(K1115:K1118)</f>
        <v>853</v>
      </c>
      <c r="L1119" s="718">
        <f>SUM(L1115:L1118)</f>
        <v>825</v>
      </c>
      <c r="M1119" s="718">
        <f>SUM(M1115:M1118)</f>
        <v>825</v>
      </c>
      <c r="N1119" s="720">
        <f>SUM(N1115:N1118)</f>
        <v>797.10069999999996</v>
      </c>
      <c r="O1119" s="648"/>
      <c r="P1119" s="648"/>
      <c r="R1119" s="626"/>
      <c r="T1119" s="633"/>
      <c r="U1119" s="632"/>
    </row>
    <row r="1120" spans="2:21" ht="28">
      <c r="B1120" s="704"/>
      <c r="C1120" s="684"/>
      <c r="D1120" s="705"/>
      <c r="E1120" s="695" t="s">
        <v>193</v>
      </c>
      <c r="F1120" s="687" t="s">
        <v>1987</v>
      </c>
      <c r="G1120" s="706"/>
      <c r="H1120" s="706"/>
      <c r="I1120" s="707"/>
      <c r="J1120" s="690"/>
      <c r="K1120" s="693"/>
      <c r="L1120" s="690"/>
      <c r="M1120" s="690"/>
      <c r="N1120" s="708"/>
      <c r="O1120" s="648"/>
      <c r="P1120" s="648"/>
      <c r="R1120" s="626"/>
      <c r="T1120" s="633"/>
      <c r="U1120" s="632"/>
    </row>
    <row r="1121" spans="2:21" ht="21.5">
      <c r="B1121" s="606" t="s">
        <v>228</v>
      </c>
      <c r="C1121" s="655">
        <v>82</v>
      </c>
      <c r="D1121" s="615">
        <v>100</v>
      </c>
      <c r="E1121" s="608">
        <v>824570</v>
      </c>
      <c r="F1121" s="609" t="s">
        <v>1308</v>
      </c>
      <c r="G1121" s="610">
        <v>1</v>
      </c>
      <c r="H1121" s="610">
        <v>0.97166666666666668</v>
      </c>
      <c r="I1121" s="611" t="s">
        <v>669</v>
      </c>
      <c r="J1121" s="616">
        <v>123</v>
      </c>
      <c r="K1121" s="613">
        <v>115</v>
      </c>
      <c r="L1121" s="616">
        <v>170</v>
      </c>
      <c r="M1121" s="616">
        <v>173</v>
      </c>
      <c r="N1121" s="614">
        <v>151.90404000000001</v>
      </c>
      <c r="O1121" s="648"/>
      <c r="P1121" s="648"/>
      <c r="R1121" s="626"/>
      <c r="T1121" s="633"/>
      <c r="U1121" s="634"/>
    </row>
    <row r="1122" spans="2:21" ht="19.149999999999999" customHeight="1">
      <c r="B1122" s="606" t="s">
        <v>228</v>
      </c>
      <c r="C1122" s="654">
        <v>82</v>
      </c>
      <c r="D1122" s="607">
        <v>780</v>
      </c>
      <c r="E1122" s="608">
        <v>824570</v>
      </c>
      <c r="F1122" s="609" t="s">
        <v>1679</v>
      </c>
      <c r="G1122" s="610"/>
      <c r="H1122" s="610"/>
      <c r="I1122" s="611" t="s">
        <v>44</v>
      </c>
      <c r="J1122" s="616">
        <v>55</v>
      </c>
      <c r="K1122" s="613">
        <v>26</v>
      </c>
      <c r="L1122" s="616">
        <v>26</v>
      </c>
      <c r="M1122" s="616">
        <v>26</v>
      </c>
      <c r="N1122" s="614">
        <v>26</v>
      </c>
      <c r="O1122" s="648"/>
      <c r="P1122" s="648"/>
      <c r="R1122" s="626"/>
      <c r="T1122" s="633"/>
      <c r="U1122" s="634"/>
    </row>
    <row r="1123" spans="2:21" ht="28">
      <c r="B1123" s="606" t="s">
        <v>228</v>
      </c>
      <c r="C1123" s="654">
        <v>82</v>
      </c>
      <c r="D1123" s="607">
        <v>870</v>
      </c>
      <c r="E1123" s="608">
        <v>824570</v>
      </c>
      <c r="F1123" s="710" t="s">
        <v>2066</v>
      </c>
      <c r="G1123" s="610"/>
      <c r="H1123" s="610"/>
      <c r="I1123" s="611" t="s">
        <v>175</v>
      </c>
      <c r="J1123" s="616">
        <v>650</v>
      </c>
      <c r="K1123" s="613">
        <v>650</v>
      </c>
      <c r="L1123" s="616">
        <v>650</v>
      </c>
      <c r="M1123" s="616">
        <v>650</v>
      </c>
      <c r="N1123" s="614">
        <v>650</v>
      </c>
      <c r="O1123" s="648"/>
      <c r="P1123" s="648"/>
      <c r="R1123" s="626"/>
      <c r="T1123" s="633"/>
      <c r="U1123" s="634"/>
    </row>
    <row r="1124" spans="2:21" ht="28">
      <c r="B1124" s="747"/>
      <c r="C1124" s="656"/>
      <c r="D1124" s="618"/>
      <c r="E1124" s="619" t="s">
        <v>193</v>
      </c>
      <c r="F1124" s="620" t="s">
        <v>1988</v>
      </c>
      <c r="G1124" s="621">
        <f>SUM(G1121:G1123)</f>
        <v>1</v>
      </c>
      <c r="H1124" s="621">
        <f>SUM(H1121:H1123)</f>
        <v>0.97166666666666668</v>
      </c>
      <c r="I1124" s="622"/>
      <c r="J1124" s="623">
        <f>SUM(J1121:J1123)</f>
        <v>828</v>
      </c>
      <c r="K1124" s="624">
        <f>SUM(K1121:K1123)</f>
        <v>791</v>
      </c>
      <c r="L1124" s="623">
        <f>SUM(L1121:L1123)</f>
        <v>846</v>
      </c>
      <c r="M1124" s="623">
        <f>SUM(M1121:M1123)</f>
        <v>849</v>
      </c>
      <c r="N1124" s="625">
        <f>SUM(N1121:N1123)</f>
        <v>827.90404000000001</v>
      </c>
      <c r="O1124" s="648"/>
      <c r="P1124" s="648"/>
      <c r="R1124" s="626"/>
      <c r="T1124" s="633"/>
      <c r="U1124" s="632"/>
    </row>
    <row r="1125" spans="2:21" ht="19.149999999999999" customHeight="1">
      <c r="B1125" s="704"/>
      <c r="C1125" s="684"/>
      <c r="D1125" s="705"/>
      <c r="E1125" s="695" t="s">
        <v>656</v>
      </c>
      <c r="F1125" s="687" t="s">
        <v>655</v>
      </c>
      <c r="G1125" s="706"/>
      <c r="H1125" s="706"/>
      <c r="I1125" s="707"/>
      <c r="J1125" s="690"/>
      <c r="K1125" s="693"/>
      <c r="L1125" s="690"/>
      <c r="M1125" s="690"/>
      <c r="N1125" s="708"/>
      <c r="O1125" s="648"/>
      <c r="P1125" s="648"/>
      <c r="R1125" s="626"/>
      <c r="T1125" s="633"/>
      <c r="U1125" s="632"/>
    </row>
    <row r="1126" spans="2:21" ht="19.149999999999999" customHeight="1">
      <c r="B1126" s="606" t="s">
        <v>655</v>
      </c>
      <c r="C1126" s="655">
        <v>82</v>
      </c>
      <c r="D1126" s="615">
        <v>780</v>
      </c>
      <c r="E1126" s="608">
        <v>824580</v>
      </c>
      <c r="F1126" s="609" t="s">
        <v>542</v>
      </c>
      <c r="G1126" s="610"/>
      <c r="H1126" s="610"/>
      <c r="I1126" s="611" t="s">
        <v>175</v>
      </c>
      <c r="J1126" s="616">
        <v>55</v>
      </c>
      <c r="K1126" s="613">
        <v>50</v>
      </c>
      <c r="L1126" s="616">
        <v>50</v>
      </c>
      <c r="M1126" s="616">
        <v>60</v>
      </c>
      <c r="N1126" s="614">
        <v>25.111999999999998</v>
      </c>
      <c r="O1126" s="648"/>
      <c r="P1126" s="648"/>
      <c r="R1126" s="626"/>
      <c r="T1126" s="633"/>
      <c r="U1126" s="634"/>
    </row>
    <row r="1127" spans="2:21" ht="19.149999999999999" customHeight="1">
      <c r="B1127" s="747"/>
      <c r="C1127" s="656"/>
      <c r="D1127" s="618"/>
      <c r="E1127" s="619" t="s">
        <v>656</v>
      </c>
      <c r="F1127" s="620" t="s">
        <v>927</v>
      </c>
      <c r="G1127" s="621">
        <f>SUM(G1126:G1126)</f>
        <v>0</v>
      </c>
      <c r="H1127" s="621">
        <f>SUM(H1126:H1126)</f>
        <v>0</v>
      </c>
      <c r="I1127" s="622"/>
      <c r="J1127" s="623">
        <f>SUM(J1126:J1126)</f>
        <v>55</v>
      </c>
      <c r="K1127" s="624">
        <f>SUM(K1126:K1126)</f>
        <v>50</v>
      </c>
      <c r="L1127" s="623">
        <f>SUM(L1126:L1126)</f>
        <v>50</v>
      </c>
      <c r="M1127" s="623">
        <f>SUM(M1126:M1126)</f>
        <v>60</v>
      </c>
      <c r="N1127" s="625">
        <f>SUM(N1126:N1126)</f>
        <v>25.111999999999998</v>
      </c>
      <c r="O1127" s="648"/>
      <c r="P1127" s="648"/>
      <c r="R1127" s="626"/>
      <c r="T1127" s="633"/>
      <c r="U1127" s="632"/>
    </row>
    <row r="1128" spans="2:21" ht="19.149999999999999" customHeight="1">
      <c r="B1128" s="704"/>
      <c r="C1128" s="684"/>
      <c r="D1128" s="705"/>
      <c r="E1128" s="695" t="s">
        <v>277</v>
      </c>
      <c r="F1128" s="687" t="s">
        <v>1096</v>
      </c>
      <c r="G1128" s="706"/>
      <c r="H1128" s="706"/>
      <c r="I1128" s="707"/>
      <c r="J1128" s="690"/>
      <c r="K1128" s="693"/>
      <c r="L1128" s="690"/>
      <c r="M1128" s="690"/>
      <c r="N1128" s="708"/>
      <c r="O1128" s="648"/>
      <c r="P1128" s="648"/>
      <c r="R1128" s="626"/>
      <c r="T1128" s="633"/>
      <c r="U1128" s="632"/>
    </row>
    <row r="1129" spans="2:21" ht="19.149999999999999" customHeight="1">
      <c r="B1129" s="606" t="s">
        <v>229</v>
      </c>
      <c r="C1129" s="654">
        <v>82</v>
      </c>
      <c r="D1129" s="607">
        <v>432</v>
      </c>
      <c r="E1129" s="608">
        <v>825100</v>
      </c>
      <c r="F1129" s="609" t="s">
        <v>103</v>
      </c>
      <c r="G1129" s="821"/>
      <c r="H1129" s="822"/>
      <c r="I1129" s="611" t="s">
        <v>175</v>
      </c>
      <c r="J1129" s="616">
        <v>10</v>
      </c>
      <c r="K1129" s="613">
        <v>10</v>
      </c>
      <c r="L1129" s="616">
        <v>10</v>
      </c>
      <c r="M1129" s="616">
        <v>10</v>
      </c>
      <c r="N1129" s="614">
        <v>10.789100000000001</v>
      </c>
      <c r="O1129" s="648"/>
      <c r="P1129" s="648"/>
      <c r="R1129" s="626"/>
      <c r="T1129" s="633"/>
      <c r="U1129" s="634"/>
    </row>
    <row r="1130" spans="2:21" ht="19.149999999999999" customHeight="1">
      <c r="B1130" s="606" t="s">
        <v>229</v>
      </c>
      <c r="C1130" s="654">
        <v>12</v>
      </c>
      <c r="D1130" s="607">
        <v>550</v>
      </c>
      <c r="E1130" s="608">
        <v>825100</v>
      </c>
      <c r="F1130" s="609" t="s">
        <v>607</v>
      </c>
      <c r="G1130" s="610"/>
      <c r="H1130" s="610"/>
      <c r="I1130" s="611" t="s">
        <v>44</v>
      </c>
      <c r="J1130" s="616">
        <v>22</v>
      </c>
      <c r="K1130" s="613">
        <v>22</v>
      </c>
      <c r="L1130" s="616">
        <v>22</v>
      </c>
      <c r="M1130" s="616">
        <v>22</v>
      </c>
      <c r="N1130" s="614">
        <v>21.99747</v>
      </c>
      <c r="O1130" s="648"/>
      <c r="P1130" s="648"/>
      <c r="R1130" s="626"/>
      <c r="T1130" s="633"/>
      <c r="U1130" s="634"/>
    </row>
    <row r="1131" spans="2:21" ht="19.149999999999999" customHeight="1">
      <c r="B1131" s="606" t="s">
        <v>229</v>
      </c>
      <c r="C1131" s="654">
        <v>5</v>
      </c>
      <c r="D1131" s="607">
        <v>750</v>
      </c>
      <c r="E1131" s="608">
        <v>825100</v>
      </c>
      <c r="F1131" s="609" t="s">
        <v>1097</v>
      </c>
      <c r="G1131" s="610"/>
      <c r="H1131" s="610"/>
      <c r="I1131" s="611" t="s">
        <v>175</v>
      </c>
      <c r="J1131" s="616">
        <v>9</v>
      </c>
      <c r="K1131" s="613">
        <v>9</v>
      </c>
      <c r="L1131" s="616">
        <v>9</v>
      </c>
      <c r="M1131" s="616">
        <v>9</v>
      </c>
      <c r="N1131" s="614">
        <v>6.7530000000000001</v>
      </c>
      <c r="O1131" s="648"/>
      <c r="P1131" s="648"/>
      <c r="R1131" s="626"/>
      <c r="T1131" s="633"/>
      <c r="U1131" s="634"/>
    </row>
    <row r="1132" spans="2:21" ht="19.149999999999999" customHeight="1">
      <c r="B1132" s="606" t="s">
        <v>229</v>
      </c>
      <c r="C1132" s="654">
        <v>82</v>
      </c>
      <c r="D1132" s="607">
        <v>850</v>
      </c>
      <c r="E1132" s="608">
        <v>825100</v>
      </c>
      <c r="F1132" s="609" t="s">
        <v>1290</v>
      </c>
      <c r="G1132" s="610"/>
      <c r="H1132" s="610"/>
      <c r="I1132" s="611" t="s">
        <v>44</v>
      </c>
      <c r="J1132" s="616">
        <v>20</v>
      </c>
      <c r="K1132" s="613">
        <v>20</v>
      </c>
      <c r="L1132" s="616">
        <v>20</v>
      </c>
      <c r="M1132" s="616">
        <v>20</v>
      </c>
      <c r="N1132" s="614">
        <v>20</v>
      </c>
      <c r="O1132" s="648"/>
      <c r="P1132" s="648"/>
      <c r="R1132" s="626"/>
      <c r="T1132" s="633"/>
      <c r="U1132" s="634"/>
    </row>
    <row r="1133" spans="2:21" ht="19.149999999999999" customHeight="1">
      <c r="B1133" s="606" t="s">
        <v>229</v>
      </c>
      <c r="C1133" s="654">
        <v>82</v>
      </c>
      <c r="D1133" s="607">
        <v>860</v>
      </c>
      <c r="E1133" s="608">
        <v>825100</v>
      </c>
      <c r="F1133" s="703" t="s">
        <v>852</v>
      </c>
      <c r="G1133" s="610"/>
      <c r="H1133" s="610"/>
      <c r="I1133" s="611" t="s">
        <v>175</v>
      </c>
      <c r="J1133" s="616">
        <v>180</v>
      </c>
      <c r="K1133" s="613">
        <v>180</v>
      </c>
      <c r="L1133" s="616">
        <v>180</v>
      </c>
      <c r="M1133" s="616">
        <v>180</v>
      </c>
      <c r="N1133" s="614">
        <v>179.941</v>
      </c>
      <c r="O1133" s="648"/>
      <c r="P1133" s="648"/>
      <c r="R1133" s="626"/>
      <c r="T1133" s="633"/>
      <c r="U1133" s="634"/>
    </row>
    <row r="1134" spans="2:21" ht="31.5" customHeight="1">
      <c r="B1134" s="606" t="s">
        <v>229</v>
      </c>
      <c r="C1134" s="654">
        <v>82</v>
      </c>
      <c r="D1134" s="607">
        <v>870</v>
      </c>
      <c r="E1134" s="608">
        <v>825100</v>
      </c>
      <c r="F1134" s="703" t="s">
        <v>2239</v>
      </c>
      <c r="G1134" s="610"/>
      <c r="H1134" s="610"/>
      <c r="I1134" s="611" t="s">
        <v>175</v>
      </c>
      <c r="J1134" s="616">
        <v>696</v>
      </c>
      <c r="K1134" s="613">
        <v>606</v>
      </c>
      <c r="L1134" s="616">
        <v>606</v>
      </c>
      <c r="M1134" s="616">
        <v>606</v>
      </c>
      <c r="N1134" s="614">
        <v>606</v>
      </c>
      <c r="O1134" s="648"/>
      <c r="P1134" s="648"/>
      <c r="R1134" s="626"/>
      <c r="T1134" s="633"/>
      <c r="U1134" s="634"/>
    </row>
    <row r="1135" spans="2:21" ht="19.149999999999999" customHeight="1">
      <c r="B1135" s="606" t="s">
        <v>229</v>
      </c>
      <c r="C1135" s="654">
        <v>82</v>
      </c>
      <c r="D1135" s="607">
        <v>871</v>
      </c>
      <c r="E1135" s="608">
        <v>825100</v>
      </c>
      <c r="F1135" s="703" t="s">
        <v>1840</v>
      </c>
      <c r="G1135" s="610"/>
      <c r="H1135" s="610"/>
      <c r="I1135" s="611" t="s">
        <v>175</v>
      </c>
      <c r="J1135" s="616">
        <v>431</v>
      </c>
      <c r="K1135" s="613">
        <v>431</v>
      </c>
      <c r="L1135" s="616">
        <v>431</v>
      </c>
      <c r="M1135" s="616">
        <v>431</v>
      </c>
      <c r="N1135" s="614">
        <v>431</v>
      </c>
      <c r="O1135" s="648"/>
      <c r="P1135" s="648"/>
      <c r="R1135" s="626"/>
      <c r="T1135" s="633"/>
      <c r="U1135" s="634"/>
    </row>
    <row r="1136" spans="2:21" ht="30.75" customHeight="1">
      <c r="B1136" s="606" t="s">
        <v>229</v>
      </c>
      <c r="C1136" s="654">
        <v>82</v>
      </c>
      <c r="D1136" s="607">
        <v>872</v>
      </c>
      <c r="E1136" s="608">
        <v>825100</v>
      </c>
      <c r="F1136" s="701" t="s">
        <v>2240</v>
      </c>
      <c r="G1136" s="610"/>
      <c r="H1136" s="610"/>
      <c r="I1136" s="611" t="s">
        <v>175</v>
      </c>
      <c r="J1136" s="616">
        <v>0</v>
      </c>
      <c r="K1136" s="613">
        <v>90</v>
      </c>
      <c r="L1136" s="616">
        <v>90</v>
      </c>
      <c r="M1136" s="616">
        <v>90</v>
      </c>
      <c r="N1136" s="614">
        <v>90</v>
      </c>
      <c r="O1136" s="648"/>
      <c r="P1136" s="648"/>
      <c r="R1136" s="626"/>
      <c r="T1136" s="633"/>
      <c r="U1136" s="634"/>
    </row>
    <row r="1137" spans="2:21" ht="19.149999999999999" customHeight="1">
      <c r="B1137" s="747"/>
      <c r="C1137" s="656"/>
      <c r="D1137" s="618"/>
      <c r="E1137" s="619" t="s">
        <v>277</v>
      </c>
      <c r="F1137" s="620" t="s">
        <v>530</v>
      </c>
      <c r="G1137" s="621">
        <f>SUM(G1128:G1136)</f>
        <v>0</v>
      </c>
      <c r="H1137" s="621">
        <f>SUM(H1128:H1136)</f>
        <v>0</v>
      </c>
      <c r="I1137" s="622"/>
      <c r="J1137" s="623">
        <f>SUM(J1128:J1136)</f>
        <v>1368</v>
      </c>
      <c r="K1137" s="624">
        <f>SUM(K1128:K1136)</f>
        <v>1368</v>
      </c>
      <c r="L1137" s="623">
        <f>SUM(L1128:L1136)</f>
        <v>1368</v>
      </c>
      <c r="M1137" s="623">
        <f>SUM(M1128:M1136)</f>
        <v>1368</v>
      </c>
      <c r="N1137" s="625">
        <f>SUM(N1128:N1136)</f>
        <v>1366.4805699999999</v>
      </c>
      <c r="O1137" s="648"/>
      <c r="P1137" s="648"/>
      <c r="R1137" s="626"/>
      <c r="T1137" s="633"/>
      <c r="U1137" s="632"/>
    </row>
    <row r="1138" spans="2:21" ht="19.149999999999999" customHeight="1">
      <c r="B1138" s="704"/>
      <c r="C1138" s="684"/>
      <c r="D1138" s="705"/>
      <c r="E1138" s="695" t="s">
        <v>1098</v>
      </c>
      <c r="F1138" s="687" t="s">
        <v>230</v>
      </c>
      <c r="G1138" s="706"/>
      <c r="H1138" s="706"/>
      <c r="I1138" s="707"/>
      <c r="J1138" s="690"/>
      <c r="K1138" s="693"/>
      <c r="L1138" s="690"/>
      <c r="M1138" s="690"/>
      <c r="N1138" s="708"/>
      <c r="O1138" s="648"/>
      <c r="P1138" s="648"/>
      <c r="R1138" s="626"/>
      <c r="T1138" s="633"/>
      <c r="U1138" s="632"/>
    </row>
    <row r="1139" spans="2:21" ht="19.149999999999999" customHeight="1">
      <c r="B1139" s="606" t="s">
        <v>230</v>
      </c>
      <c r="C1139" s="654">
        <v>12</v>
      </c>
      <c r="D1139" s="607">
        <v>550</v>
      </c>
      <c r="E1139" s="608">
        <v>825400</v>
      </c>
      <c r="F1139" s="609" t="s">
        <v>607</v>
      </c>
      <c r="G1139" s="610"/>
      <c r="H1139" s="610"/>
      <c r="I1139" s="611" t="s">
        <v>44</v>
      </c>
      <c r="J1139" s="616">
        <v>25</v>
      </c>
      <c r="K1139" s="613">
        <v>0</v>
      </c>
      <c r="L1139" s="616">
        <v>25</v>
      </c>
      <c r="M1139" s="616">
        <v>25</v>
      </c>
      <c r="N1139" s="614">
        <v>22.704519999999999</v>
      </c>
      <c r="O1139" s="648"/>
      <c r="P1139" s="648"/>
      <c r="R1139" s="626"/>
      <c r="T1139" s="633"/>
      <c r="U1139" s="634"/>
    </row>
    <row r="1140" spans="2:21" ht="19.149999999999999" customHeight="1">
      <c r="B1140" s="606" t="s">
        <v>230</v>
      </c>
      <c r="C1140" s="655">
        <v>82</v>
      </c>
      <c r="D1140" s="615">
        <v>750</v>
      </c>
      <c r="E1140" s="608">
        <v>825400</v>
      </c>
      <c r="F1140" s="724" t="s">
        <v>2196</v>
      </c>
      <c r="G1140" s="610"/>
      <c r="H1140" s="610"/>
      <c r="I1140" s="611" t="s">
        <v>175</v>
      </c>
      <c r="J1140" s="616">
        <v>70</v>
      </c>
      <c r="K1140" s="613">
        <v>60</v>
      </c>
      <c r="L1140" s="616">
        <v>75</v>
      </c>
      <c r="M1140" s="616">
        <v>102</v>
      </c>
      <c r="N1140" s="614">
        <v>57.998839999999994</v>
      </c>
      <c r="O1140" s="648"/>
      <c r="P1140" s="648"/>
      <c r="R1140" s="626"/>
      <c r="T1140" s="633"/>
      <c r="U1140" s="634"/>
    </row>
    <row r="1141" spans="2:21" ht="18" customHeight="1">
      <c r="B1141" s="606" t="s">
        <v>230</v>
      </c>
      <c r="C1141" s="655">
        <v>82</v>
      </c>
      <c r="D1141" s="615">
        <v>751</v>
      </c>
      <c r="E1141" s="608">
        <v>825400</v>
      </c>
      <c r="F1141" s="724" t="s">
        <v>1296</v>
      </c>
      <c r="G1141" s="610"/>
      <c r="H1141" s="610"/>
      <c r="I1141" s="611" t="s">
        <v>175</v>
      </c>
      <c r="J1141" s="616">
        <v>54</v>
      </c>
      <c r="K1141" s="613">
        <v>39</v>
      </c>
      <c r="L1141" s="616">
        <v>42</v>
      </c>
      <c r="M1141" s="616">
        <v>54</v>
      </c>
      <c r="N1141" s="614">
        <v>53.999010000000006</v>
      </c>
      <c r="O1141" s="648"/>
      <c r="P1141" s="648"/>
      <c r="R1141" s="626"/>
      <c r="T1141" s="633"/>
      <c r="U1141" s="634"/>
    </row>
    <row r="1142" spans="2:21" ht="19.149999999999999" customHeight="1">
      <c r="B1142" s="606" t="s">
        <v>230</v>
      </c>
      <c r="C1142" s="655">
        <v>82</v>
      </c>
      <c r="D1142" s="615">
        <v>780</v>
      </c>
      <c r="E1142" s="608">
        <v>825400</v>
      </c>
      <c r="F1142" s="609" t="s">
        <v>1037</v>
      </c>
      <c r="G1142" s="610"/>
      <c r="H1142" s="610"/>
      <c r="I1142" s="611" t="s">
        <v>44</v>
      </c>
      <c r="J1142" s="616">
        <v>71</v>
      </c>
      <c r="K1142" s="613">
        <v>61</v>
      </c>
      <c r="L1142" s="616">
        <v>61</v>
      </c>
      <c r="M1142" s="616">
        <v>76</v>
      </c>
      <c r="N1142" s="614">
        <v>54.347000000000001</v>
      </c>
      <c r="O1142" s="648"/>
      <c r="P1142" s="648"/>
      <c r="R1142" s="626"/>
      <c r="T1142" s="633"/>
      <c r="U1142" s="634"/>
    </row>
    <row r="1143" spans="2:21" ht="19.149999999999999" customHeight="1">
      <c r="B1143" s="606" t="s">
        <v>230</v>
      </c>
      <c r="C1143" s="655">
        <v>82</v>
      </c>
      <c r="D1143" s="615">
        <v>781</v>
      </c>
      <c r="E1143" s="608">
        <v>825400</v>
      </c>
      <c r="F1143" s="724" t="s">
        <v>962</v>
      </c>
      <c r="G1143" s="610"/>
      <c r="H1143" s="610"/>
      <c r="I1143" s="611" t="s">
        <v>44</v>
      </c>
      <c r="J1143" s="616">
        <v>144</v>
      </c>
      <c r="K1143" s="613">
        <v>141</v>
      </c>
      <c r="L1143" s="616">
        <v>141</v>
      </c>
      <c r="M1143" s="616">
        <v>154</v>
      </c>
      <c r="N1143" s="614">
        <v>156.05799999999999</v>
      </c>
      <c r="O1143" s="648"/>
      <c r="P1143" s="648"/>
      <c r="R1143" s="626"/>
      <c r="T1143" s="633"/>
      <c r="U1143" s="634"/>
    </row>
    <row r="1144" spans="2:21" ht="28">
      <c r="B1144" s="606" t="s">
        <v>230</v>
      </c>
      <c r="C1144" s="654">
        <v>82</v>
      </c>
      <c r="D1144" s="607">
        <v>870</v>
      </c>
      <c r="E1144" s="608">
        <v>825400</v>
      </c>
      <c r="F1144" s="609" t="s">
        <v>1989</v>
      </c>
      <c r="G1144" s="610"/>
      <c r="H1144" s="610"/>
      <c r="I1144" s="611" t="s">
        <v>175</v>
      </c>
      <c r="J1144" s="616">
        <v>28</v>
      </c>
      <c r="K1144" s="613">
        <v>28</v>
      </c>
      <c r="L1144" s="616">
        <v>28</v>
      </c>
      <c r="M1144" s="616">
        <v>28</v>
      </c>
      <c r="N1144" s="614">
        <v>28</v>
      </c>
      <c r="O1144" s="648"/>
      <c r="P1144" s="648"/>
      <c r="R1144" s="626"/>
      <c r="T1144" s="633"/>
      <c r="U1144" s="634"/>
    </row>
    <row r="1145" spans="2:21" ht="19.149999999999999" customHeight="1">
      <c r="B1145" s="606" t="s">
        <v>230</v>
      </c>
      <c r="C1145" s="654">
        <v>82</v>
      </c>
      <c r="D1145" s="607">
        <v>980</v>
      </c>
      <c r="E1145" s="608">
        <v>825400</v>
      </c>
      <c r="F1145" s="609" t="s">
        <v>531</v>
      </c>
      <c r="G1145" s="610"/>
      <c r="H1145" s="610"/>
      <c r="I1145" s="611" t="s">
        <v>175</v>
      </c>
      <c r="J1145" s="616">
        <v>163</v>
      </c>
      <c r="K1145" s="613">
        <v>163</v>
      </c>
      <c r="L1145" s="616">
        <v>160</v>
      </c>
      <c r="M1145" s="616">
        <v>160</v>
      </c>
      <c r="N1145" s="614">
        <v>160.33500000000001</v>
      </c>
      <c r="O1145" s="648"/>
      <c r="P1145" s="648"/>
      <c r="R1145" s="626"/>
      <c r="T1145" s="633"/>
      <c r="U1145" s="634"/>
    </row>
    <row r="1146" spans="2:21" ht="19.149999999999999" customHeight="1">
      <c r="B1146" s="747"/>
      <c r="C1146" s="656"/>
      <c r="D1146" s="618"/>
      <c r="E1146" s="619" t="s">
        <v>1098</v>
      </c>
      <c r="F1146" s="620" t="s">
        <v>532</v>
      </c>
      <c r="G1146" s="621">
        <f>SUM(G1139:G1145)</f>
        <v>0</v>
      </c>
      <c r="H1146" s="621">
        <f>SUM(H1139:H1145)</f>
        <v>0</v>
      </c>
      <c r="I1146" s="622"/>
      <c r="J1146" s="623">
        <f>SUM(J1139:J1145)</f>
        <v>555</v>
      </c>
      <c r="K1146" s="624">
        <f>SUM(K1139:K1145)</f>
        <v>492</v>
      </c>
      <c r="L1146" s="623">
        <f>SUM(L1139:L1145)</f>
        <v>532</v>
      </c>
      <c r="M1146" s="623">
        <f>SUM(M1139:M1145)</f>
        <v>599</v>
      </c>
      <c r="N1146" s="625">
        <f>SUM(N1139:N1145)</f>
        <v>533.44236999999998</v>
      </c>
      <c r="O1146" s="648"/>
      <c r="P1146" s="648"/>
      <c r="R1146" s="626"/>
      <c r="T1146" s="633"/>
      <c r="U1146" s="632"/>
    </row>
    <row r="1147" spans="2:21" ht="28">
      <c r="B1147" s="704"/>
      <c r="C1147" s="684"/>
      <c r="D1147" s="705"/>
      <c r="E1147" s="695" t="s">
        <v>534</v>
      </c>
      <c r="F1147" s="687" t="s">
        <v>1387</v>
      </c>
      <c r="G1147" s="706"/>
      <c r="H1147" s="706"/>
      <c r="I1147" s="707"/>
      <c r="J1147" s="690"/>
      <c r="K1147" s="693"/>
      <c r="L1147" s="690"/>
      <c r="M1147" s="690"/>
      <c r="N1147" s="708"/>
      <c r="O1147" s="648"/>
      <c r="P1147" s="648"/>
      <c r="R1147" s="626"/>
      <c r="T1147" s="633"/>
      <c r="U1147" s="632"/>
    </row>
    <row r="1148" spans="2:21" ht="19.149999999999999" customHeight="1">
      <c r="B1148" s="606" t="s">
        <v>1077</v>
      </c>
      <c r="C1148" s="654">
        <v>82</v>
      </c>
      <c r="D1148" s="607">
        <v>100</v>
      </c>
      <c r="E1148" s="608">
        <v>826200</v>
      </c>
      <c r="F1148" s="609" t="s">
        <v>848</v>
      </c>
      <c r="G1148" s="610">
        <v>1</v>
      </c>
      <c r="H1148" s="610">
        <v>1</v>
      </c>
      <c r="I1148" s="611" t="s">
        <v>669</v>
      </c>
      <c r="J1148" s="616">
        <v>204</v>
      </c>
      <c r="K1148" s="613">
        <v>199</v>
      </c>
      <c r="L1148" s="616">
        <v>199</v>
      </c>
      <c r="M1148" s="616">
        <v>199</v>
      </c>
      <c r="N1148" s="614">
        <v>200.30651999999998</v>
      </c>
      <c r="O1148" s="648"/>
      <c r="P1148" s="648"/>
      <c r="R1148" s="626"/>
      <c r="T1148" s="633"/>
      <c r="U1148" s="634"/>
    </row>
    <row r="1149" spans="2:21" ht="19.149999999999999" customHeight="1">
      <c r="B1149" s="606" t="s">
        <v>1077</v>
      </c>
      <c r="C1149" s="654">
        <v>5</v>
      </c>
      <c r="D1149" s="607">
        <v>420</v>
      </c>
      <c r="E1149" s="608">
        <v>826200</v>
      </c>
      <c r="F1149" s="609" t="s">
        <v>544</v>
      </c>
      <c r="G1149" s="610"/>
      <c r="H1149" s="610"/>
      <c r="I1149" s="611" t="s">
        <v>44</v>
      </c>
      <c r="J1149" s="616">
        <v>101</v>
      </c>
      <c r="K1149" s="613">
        <v>101</v>
      </c>
      <c r="L1149" s="616">
        <v>101</v>
      </c>
      <c r="M1149" s="616">
        <v>101</v>
      </c>
      <c r="N1149" s="614">
        <v>100.78725999999999</v>
      </c>
      <c r="O1149" s="648"/>
      <c r="P1149" s="648"/>
      <c r="R1149" s="626"/>
      <c r="T1149" s="633"/>
      <c r="U1149" s="634"/>
    </row>
    <row r="1150" spans="2:21" ht="19.149999999999999" customHeight="1">
      <c r="B1150" s="606" t="s">
        <v>1077</v>
      </c>
      <c r="C1150" s="654">
        <v>2</v>
      </c>
      <c r="D1150" s="607">
        <v>440</v>
      </c>
      <c r="E1150" s="608">
        <v>826200</v>
      </c>
      <c r="F1150" s="609" t="s">
        <v>1078</v>
      </c>
      <c r="G1150" s="610"/>
      <c r="H1150" s="610"/>
      <c r="I1150" s="611" t="s">
        <v>175</v>
      </c>
      <c r="J1150" s="616">
        <v>280</v>
      </c>
      <c r="K1150" s="613">
        <v>280</v>
      </c>
      <c r="L1150" s="616">
        <v>260</v>
      </c>
      <c r="M1150" s="616">
        <v>260</v>
      </c>
      <c r="N1150" s="614">
        <v>252.07195999999999</v>
      </c>
      <c r="O1150" s="648"/>
      <c r="P1150" s="648"/>
      <c r="R1150" s="626"/>
      <c r="T1150" s="633"/>
      <c r="U1150" s="634"/>
    </row>
    <row r="1151" spans="2:21" ht="19.149999999999999" customHeight="1">
      <c r="B1151" s="747"/>
      <c r="C1151" s="656"/>
      <c r="D1151" s="618"/>
      <c r="E1151" s="619" t="s">
        <v>534</v>
      </c>
      <c r="F1151" s="620" t="s">
        <v>508</v>
      </c>
      <c r="G1151" s="621">
        <f>SUM(G1148:G1150)</f>
        <v>1</v>
      </c>
      <c r="H1151" s="621">
        <f>SUM(H1148:H1150)</f>
        <v>1</v>
      </c>
      <c r="I1151" s="622"/>
      <c r="J1151" s="623">
        <f>SUM(J1148:J1150)</f>
        <v>585</v>
      </c>
      <c r="K1151" s="624">
        <f>SUM(K1148:K1150)</f>
        <v>580</v>
      </c>
      <c r="L1151" s="623">
        <f>SUM(L1148:L1150)</f>
        <v>560</v>
      </c>
      <c r="M1151" s="623">
        <f>SUM(M1148:M1150)</f>
        <v>560</v>
      </c>
      <c r="N1151" s="625">
        <f>SUM(N1148:N1150)</f>
        <v>553.16573999999991</v>
      </c>
      <c r="O1151" s="648"/>
      <c r="P1151" s="648"/>
      <c r="R1151" s="626"/>
      <c r="T1151" s="633"/>
      <c r="U1151" s="632"/>
    </row>
    <row r="1152" spans="2:21" ht="19.149999999999999" customHeight="1">
      <c r="B1152" s="704"/>
      <c r="C1152" s="684"/>
      <c r="D1152" s="705"/>
      <c r="E1152" s="695" t="s">
        <v>509</v>
      </c>
      <c r="F1152" s="687" t="s">
        <v>510</v>
      </c>
      <c r="G1152" s="706"/>
      <c r="H1152" s="706"/>
      <c r="I1152" s="707"/>
      <c r="J1152" s="690"/>
      <c r="K1152" s="693"/>
      <c r="L1152" s="690"/>
      <c r="M1152" s="690"/>
      <c r="N1152" s="708"/>
      <c r="O1152" s="648"/>
      <c r="P1152" s="648"/>
      <c r="R1152" s="626"/>
      <c r="T1152" s="633"/>
      <c r="U1152" s="632"/>
    </row>
    <row r="1153" spans="2:21" ht="19.149999999999999" customHeight="1">
      <c r="B1153" s="606" t="s">
        <v>510</v>
      </c>
      <c r="C1153" s="655">
        <v>82</v>
      </c>
      <c r="D1153" s="615">
        <v>100</v>
      </c>
      <c r="E1153" s="608">
        <v>826210</v>
      </c>
      <c r="F1153" s="609" t="s">
        <v>1058</v>
      </c>
      <c r="G1153" s="610">
        <v>3.66</v>
      </c>
      <c r="H1153" s="610">
        <v>2.2979666666666665</v>
      </c>
      <c r="I1153" s="611" t="s">
        <v>669</v>
      </c>
      <c r="J1153" s="616">
        <v>592</v>
      </c>
      <c r="K1153" s="613">
        <v>418</v>
      </c>
      <c r="L1153" s="616">
        <v>592</v>
      </c>
      <c r="M1153" s="616">
        <v>604</v>
      </c>
      <c r="N1153" s="614">
        <v>421.07574</v>
      </c>
      <c r="O1153" s="648"/>
      <c r="P1153" s="648"/>
      <c r="R1153" s="626"/>
      <c r="T1153" s="633"/>
      <c r="U1153" s="634"/>
    </row>
    <row r="1154" spans="2:21" ht="19.149999999999999" customHeight="1">
      <c r="B1154" s="606" t="s">
        <v>510</v>
      </c>
      <c r="C1154" s="654">
        <v>82</v>
      </c>
      <c r="D1154" s="607">
        <v>430</v>
      </c>
      <c r="E1154" s="608">
        <v>826210</v>
      </c>
      <c r="F1154" s="609" t="s">
        <v>192</v>
      </c>
      <c r="G1154" s="610"/>
      <c r="H1154" s="610"/>
      <c r="I1154" s="611" t="s">
        <v>175</v>
      </c>
      <c r="J1154" s="616">
        <v>23</v>
      </c>
      <c r="K1154" s="613">
        <v>19</v>
      </c>
      <c r="L1154" s="616">
        <v>23</v>
      </c>
      <c r="M1154" s="616">
        <v>23</v>
      </c>
      <c r="N1154" s="614">
        <v>16.658630000000002</v>
      </c>
      <c r="O1154" s="648"/>
      <c r="P1154" s="648"/>
      <c r="R1154" s="626"/>
      <c r="T1154" s="633"/>
      <c r="U1154" s="634"/>
    </row>
    <row r="1155" spans="2:21" ht="19.149999999999999" customHeight="1">
      <c r="B1155" s="606" t="s">
        <v>510</v>
      </c>
      <c r="C1155" s="654">
        <v>10</v>
      </c>
      <c r="D1155" s="607">
        <v>540</v>
      </c>
      <c r="E1155" s="608">
        <v>826210</v>
      </c>
      <c r="F1155" s="609" t="s">
        <v>1648</v>
      </c>
      <c r="G1155" s="610"/>
      <c r="H1155" s="610"/>
      <c r="I1155" s="611" t="s">
        <v>175</v>
      </c>
      <c r="J1155" s="616">
        <v>3</v>
      </c>
      <c r="K1155" s="613">
        <v>3</v>
      </c>
      <c r="L1155" s="616">
        <v>3</v>
      </c>
      <c r="M1155" s="616">
        <v>5</v>
      </c>
      <c r="N1155" s="614">
        <v>3.54793</v>
      </c>
      <c r="O1155" s="648"/>
      <c r="P1155" s="648"/>
      <c r="R1155" s="626"/>
      <c r="T1155" s="633"/>
      <c r="U1155" s="634"/>
    </row>
    <row r="1156" spans="2:21" ht="19.149999999999999" customHeight="1">
      <c r="B1156" s="606" t="s">
        <v>510</v>
      </c>
      <c r="C1156" s="655">
        <v>12</v>
      </c>
      <c r="D1156" s="615">
        <v>550</v>
      </c>
      <c r="E1156" s="608">
        <v>826210</v>
      </c>
      <c r="F1156" s="609" t="s">
        <v>607</v>
      </c>
      <c r="G1156" s="610"/>
      <c r="H1156" s="610"/>
      <c r="I1156" s="611" t="s">
        <v>44</v>
      </c>
      <c r="J1156" s="616">
        <v>23</v>
      </c>
      <c r="K1156" s="613">
        <v>20</v>
      </c>
      <c r="L1156" s="616">
        <v>23</v>
      </c>
      <c r="M1156" s="616">
        <v>28</v>
      </c>
      <c r="N1156" s="614">
        <v>26.880400000000002</v>
      </c>
      <c r="O1156" s="648"/>
      <c r="P1156" s="648"/>
      <c r="R1156" s="626"/>
      <c r="T1156" s="633"/>
      <c r="U1156" s="634"/>
    </row>
    <row r="1157" spans="2:21" ht="16.149999999999999" customHeight="1">
      <c r="B1157" s="606" t="s">
        <v>510</v>
      </c>
      <c r="C1157" s="655">
        <v>9</v>
      </c>
      <c r="D1157" s="615">
        <v>750</v>
      </c>
      <c r="E1157" s="608">
        <v>826210</v>
      </c>
      <c r="F1157" s="609" t="s">
        <v>314</v>
      </c>
      <c r="G1157" s="610"/>
      <c r="H1157" s="610"/>
      <c r="I1157" s="611" t="s">
        <v>175</v>
      </c>
      <c r="J1157" s="616">
        <v>170</v>
      </c>
      <c r="K1157" s="613">
        <v>150</v>
      </c>
      <c r="L1157" s="616">
        <v>150</v>
      </c>
      <c r="M1157" s="616">
        <v>170</v>
      </c>
      <c r="N1157" s="614">
        <v>146.57451999999998</v>
      </c>
      <c r="O1157" s="648"/>
      <c r="P1157" s="648"/>
      <c r="R1157" s="626"/>
      <c r="T1157" s="633"/>
      <c r="U1157" s="634"/>
    </row>
    <row r="1158" spans="2:21" ht="19.149999999999999" customHeight="1">
      <c r="B1158" s="606" t="s">
        <v>510</v>
      </c>
      <c r="C1158" s="655">
        <v>5</v>
      </c>
      <c r="D1158" s="615">
        <v>751</v>
      </c>
      <c r="E1158" s="608">
        <v>826210</v>
      </c>
      <c r="F1158" s="609" t="s">
        <v>670</v>
      </c>
      <c r="G1158" s="610"/>
      <c r="H1158" s="610"/>
      <c r="I1158" s="611" t="s">
        <v>175</v>
      </c>
      <c r="J1158" s="616">
        <v>52</v>
      </c>
      <c r="K1158" s="613">
        <v>47</v>
      </c>
      <c r="L1158" s="616">
        <v>48</v>
      </c>
      <c r="M1158" s="616">
        <v>51</v>
      </c>
      <c r="N1158" s="614">
        <v>50.788460000000001</v>
      </c>
      <c r="O1158" s="648"/>
      <c r="P1158" s="648"/>
      <c r="R1158" s="626"/>
      <c r="T1158" s="633"/>
      <c r="U1158" s="634"/>
    </row>
    <row r="1159" spans="2:21" ht="19.149999999999999" customHeight="1">
      <c r="B1159" s="606" t="s">
        <v>510</v>
      </c>
      <c r="C1159" s="655">
        <v>82</v>
      </c>
      <c r="D1159" s="615">
        <v>780</v>
      </c>
      <c r="E1159" s="608">
        <v>826210</v>
      </c>
      <c r="F1159" s="609" t="s">
        <v>963</v>
      </c>
      <c r="G1159" s="610"/>
      <c r="H1159" s="610"/>
      <c r="I1159" s="611" t="s">
        <v>44</v>
      </c>
      <c r="J1159" s="616">
        <v>72</v>
      </c>
      <c r="K1159" s="613">
        <v>66</v>
      </c>
      <c r="L1159" s="616">
        <v>66</v>
      </c>
      <c r="M1159" s="616">
        <v>76</v>
      </c>
      <c r="N1159" s="614">
        <v>70.479179999999999</v>
      </c>
      <c r="O1159" s="648"/>
      <c r="P1159" s="648"/>
      <c r="R1159" s="626"/>
      <c r="T1159" s="633"/>
      <c r="U1159" s="634"/>
    </row>
    <row r="1160" spans="2:21" ht="28">
      <c r="B1160" s="606" t="s">
        <v>510</v>
      </c>
      <c r="C1160" s="654">
        <v>82</v>
      </c>
      <c r="D1160" s="607">
        <v>781</v>
      </c>
      <c r="E1160" s="608">
        <v>826210</v>
      </c>
      <c r="F1160" s="609" t="s">
        <v>1689</v>
      </c>
      <c r="G1160" s="610"/>
      <c r="H1160" s="610"/>
      <c r="I1160" s="611" t="s">
        <v>44</v>
      </c>
      <c r="J1160" s="616">
        <v>25</v>
      </c>
      <c r="K1160" s="613">
        <v>10</v>
      </c>
      <c r="L1160" s="616">
        <v>25</v>
      </c>
      <c r="M1160" s="616">
        <v>25</v>
      </c>
      <c r="N1160" s="614">
        <v>22.907499999999999</v>
      </c>
      <c r="O1160" s="648"/>
      <c r="P1160" s="648"/>
      <c r="R1160" s="626"/>
      <c r="T1160" s="633"/>
      <c r="U1160" s="634"/>
    </row>
    <row r="1161" spans="2:21" ht="19.149999999999999" customHeight="1">
      <c r="B1161" s="747"/>
      <c r="C1161" s="656"/>
      <c r="D1161" s="618"/>
      <c r="E1161" s="619" t="s">
        <v>509</v>
      </c>
      <c r="F1161" s="620" t="s">
        <v>511</v>
      </c>
      <c r="G1161" s="621">
        <f>SUM(G1153:G1160)</f>
        <v>3.66</v>
      </c>
      <c r="H1161" s="621">
        <f>SUM(H1153:H1160)</f>
        <v>2.2979666666666665</v>
      </c>
      <c r="I1161" s="622"/>
      <c r="J1161" s="623">
        <f>SUM(J1153:J1160)</f>
        <v>960</v>
      </c>
      <c r="K1161" s="624">
        <f>SUM(K1153:K1160)</f>
        <v>733</v>
      </c>
      <c r="L1161" s="623">
        <f>SUM(L1153:L1160)</f>
        <v>930</v>
      </c>
      <c r="M1161" s="623">
        <f>SUM(M1153:M1160)</f>
        <v>982</v>
      </c>
      <c r="N1161" s="625">
        <f>SUM(N1153:N1160)</f>
        <v>758.91236000000004</v>
      </c>
      <c r="O1161" s="648"/>
      <c r="P1161" s="648"/>
      <c r="R1161" s="626"/>
      <c r="T1161" s="633"/>
      <c r="U1161" s="632"/>
    </row>
    <row r="1162" spans="2:21" ht="19.149999999999999" customHeight="1">
      <c r="B1162" s="704"/>
      <c r="C1162" s="684"/>
      <c r="D1162" s="705"/>
      <c r="E1162" s="695" t="s">
        <v>1261</v>
      </c>
      <c r="F1162" s="687" t="s">
        <v>1044</v>
      </c>
      <c r="G1162" s="706"/>
      <c r="H1162" s="706"/>
      <c r="I1162" s="707"/>
      <c r="J1162" s="690"/>
      <c r="K1162" s="693"/>
      <c r="L1162" s="690"/>
      <c r="M1162" s="690"/>
      <c r="N1162" s="708"/>
      <c r="O1162" s="648"/>
      <c r="P1162" s="648"/>
      <c r="R1162" s="626"/>
      <c r="T1162" s="633"/>
      <c r="U1162" s="632"/>
    </row>
    <row r="1163" spans="2:21" ht="19.149999999999999" customHeight="1">
      <c r="B1163" s="606" t="s">
        <v>1044</v>
      </c>
      <c r="C1163" s="654">
        <v>2</v>
      </c>
      <c r="D1163" s="607">
        <v>410</v>
      </c>
      <c r="E1163" s="608">
        <v>826400</v>
      </c>
      <c r="F1163" s="609" t="s">
        <v>1303</v>
      </c>
      <c r="G1163" s="610"/>
      <c r="H1163" s="610"/>
      <c r="I1163" s="611" t="s">
        <v>175</v>
      </c>
      <c r="J1163" s="616">
        <v>350</v>
      </c>
      <c r="K1163" s="613">
        <v>350</v>
      </c>
      <c r="L1163" s="616">
        <v>350</v>
      </c>
      <c r="M1163" s="616">
        <v>350</v>
      </c>
      <c r="N1163" s="614">
        <v>336.12799999999999</v>
      </c>
      <c r="O1163" s="648"/>
      <c r="P1163" s="648"/>
      <c r="R1163" s="626"/>
      <c r="T1163" s="633"/>
      <c r="U1163" s="634"/>
    </row>
    <row r="1164" spans="2:21" ht="19.149999999999999" customHeight="1">
      <c r="B1164" s="606" t="s">
        <v>1044</v>
      </c>
      <c r="C1164" s="654">
        <v>2</v>
      </c>
      <c r="D1164" s="607">
        <v>411</v>
      </c>
      <c r="E1164" s="608">
        <v>826400</v>
      </c>
      <c r="F1164" s="609" t="s">
        <v>1694</v>
      </c>
      <c r="G1164" s="610"/>
      <c r="H1164" s="610"/>
      <c r="I1164" s="611" t="s">
        <v>175</v>
      </c>
      <c r="J1164" s="616">
        <v>662</v>
      </c>
      <c r="K1164" s="613">
        <v>662</v>
      </c>
      <c r="L1164" s="616">
        <v>662</v>
      </c>
      <c r="M1164" s="616">
        <v>662</v>
      </c>
      <c r="N1164" s="614">
        <v>656.9846</v>
      </c>
      <c r="O1164" s="648"/>
      <c r="P1164" s="648"/>
      <c r="R1164" s="626"/>
      <c r="T1164" s="633"/>
      <c r="U1164" s="634"/>
    </row>
    <row r="1165" spans="2:21" ht="19.149999999999999" customHeight="1">
      <c r="B1165" s="606" t="s">
        <v>1044</v>
      </c>
      <c r="C1165" s="654">
        <v>2</v>
      </c>
      <c r="D1165" s="607">
        <v>412</v>
      </c>
      <c r="E1165" s="608">
        <v>826400</v>
      </c>
      <c r="F1165" s="609" t="s">
        <v>1802</v>
      </c>
      <c r="G1165" s="610"/>
      <c r="H1165" s="610"/>
      <c r="I1165" s="611" t="s">
        <v>175</v>
      </c>
      <c r="J1165" s="616">
        <v>150</v>
      </c>
      <c r="K1165" s="613">
        <v>150</v>
      </c>
      <c r="L1165" s="616">
        <v>150</v>
      </c>
      <c r="M1165" s="616">
        <v>150</v>
      </c>
      <c r="N1165" s="614">
        <v>145.584</v>
      </c>
      <c r="O1165" s="648"/>
      <c r="P1165" s="648"/>
      <c r="R1165" s="626"/>
      <c r="T1165" s="633"/>
      <c r="U1165" s="634"/>
    </row>
    <row r="1166" spans="2:21" ht="21.5">
      <c r="B1166" s="606" t="s">
        <v>1044</v>
      </c>
      <c r="C1166" s="654">
        <v>82</v>
      </c>
      <c r="D1166" s="607">
        <v>870</v>
      </c>
      <c r="E1166" s="608">
        <v>826400</v>
      </c>
      <c r="F1166" s="609" t="s">
        <v>1262</v>
      </c>
      <c r="G1166" s="610"/>
      <c r="H1166" s="610"/>
      <c r="I1166" s="611" t="s">
        <v>175</v>
      </c>
      <c r="J1166" s="616">
        <v>1873</v>
      </c>
      <c r="K1166" s="613">
        <v>1873</v>
      </c>
      <c r="L1166" s="616">
        <v>1873</v>
      </c>
      <c r="M1166" s="616">
        <v>1873</v>
      </c>
      <c r="N1166" s="614">
        <v>1873</v>
      </c>
      <c r="O1166" s="648"/>
      <c r="P1166" s="648"/>
      <c r="R1166" s="626"/>
      <c r="T1166" s="633"/>
      <c r="U1166" s="634"/>
    </row>
    <row r="1167" spans="2:21" ht="19.149999999999999" customHeight="1">
      <c r="B1167" s="606" t="s">
        <v>1044</v>
      </c>
      <c r="C1167" s="654">
        <v>82</v>
      </c>
      <c r="D1167" s="607">
        <v>871</v>
      </c>
      <c r="E1167" s="608">
        <v>826400</v>
      </c>
      <c r="F1167" s="609" t="s">
        <v>1685</v>
      </c>
      <c r="G1167" s="610"/>
      <c r="H1167" s="610"/>
      <c r="I1167" s="611" t="s">
        <v>175</v>
      </c>
      <c r="J1167" s="616">
        <v>471</v>
      </c>
      <c r="K1167" s="613">
        <v>471</v>
      </c>
      <c r="L1167" s="616">
        <v>471</v>
      </c>
      <c r="M1167" s="616">
        <v>471</v>
      </c>
      <c r="N1167" s="614">
        <v>471</v>
      </c>
      <c r="O1167" s="648"/>
      <c r="P1167" s="648"/>
      <c r="R1167" s="626"/>
      <c r="T1167" s="633"/>
      <c r="U1167" s="634"/>
    </row>
    <row r="1168" spans="2:21" ht="18.649999999999999" customHeight="1">
      <c r="B1168" s="606" t="s">
        <v>1044</v>
      </c>
      <c r="C1168" s="654">
        <v>82</v>
      </c>
      <c r="D1168" s="607">
        <v>872</v>
      </c>
      <c r="E1168" s="608">
        <v>826400</v>
      </c>
      <c r="F1168" s="609" t="s">
        <v>1284</v>
      </c>
      <c r="G1168" s="610"/>
      <c r="H1168" s="610"/>
      <c r="I1168" s="611" t="s">
        <v>175</v>
      </c>
      <c r="J1168" s="616">
        <v>1364</v>
      </c>
      <c r="K1168" s="613">
        <v>1364</v>
      </c>
      <c r="L1168" s="616">
        <v>1364</v>
      </c>
      <c r="M1168" s="616">
        <v>1364</v>
      </c>
      <c r="N1168" s="614">
        <v>1306</v>
      </c>
      <c r="O1168" s="648"/>
      <c r="P1168" s="648"/>
      <c r="R1168" s="626"/>
      <c r="T1168" s="633"/>
      <c r="U1168" s="634"/>
    </row>
    <row r="1169" spans="2:21" ht="18.649999999999999" customHeight="1">
      <c r="B1169" s="606" t="s">
        <v>1044</v>
      </c>
      <c r="C1169" s="654">
        <v>82</v>
      </c>
      <c r="D1169" s="607">
        <v>873</v>
      </c>
      <c r="E1169" s="608">
        <v>826400</v>
      </c>
      <c r="F1169" s="609" t="s">
        <v>1287</v>
      </c>
      <c r="G1169" s="610"/>
      <c r="H1169" s="610"/>
      <c r="I1169" s="611" t="s">
        <v>175</v>
      </c>
      <c r="J1169" s="616">
        <v>175</v>
      </c>
      <c r="K1169" s="613">
        <v>175</v>
      </c>
      <c r="L1169" s="616">
        <v>175</v>
      </c>
      <c r="M1169" s="616">
        <v>175</v>
      </c>
      <c r="N1169" s="614">
        <v>155</v>
      </c>
      <c r="O1169" s="648"/>
      <c r="P1169" s="648"/>
      <c r="R1169" s="626"/>
      <c r="T1169" s="633"/>
      <c r="U1169" s="634"/>
    </row>
    <row r="1170" spans="2:21" ht="19.149999999999999" customHeight="1">
      <c r="B1170" s="606" t="s">
        <v>1044</v>
      </c>
      <c r="C1170" s="654">
        <v>82</v>
      </c>
      <c r="D1170" s="607">
        <v>874</v>
      </c>
      <c r="E1170" s="608">
        <v>826400</v>
      </c>
      <c r="F1170" s="609" t="s">
        <v>1605</v>
      </c>
      <c r="G1170" s="610"/>
      <c r="H1170" s="610"/>
      <c r="I1170" s="611" t="s">
        <v>175</v>
      </c>
      <c r="J1170" s="616">
        <v>1383</v>
      </c>
      <c r="K1170" s="613">
        <v>1383</v>
      </c>
      <c r="L1170" s="616">
        <v>1383</v>
      </c>
      <c r="M1170" s="616">
        <v>1383</v>
      </c>
      <c r="N1170" s="614">
        <v>1383</v>
      </c>
      <c r="O1170" s="648"/>
      <c r="P1170" s="648"/>
      <c r="R1170" s="626"/>
      <c r="T1170" s="633"/>
      <c r="U1170" s="634"/>
    </row>
    <row r="1171" spans="2:21" ht="28">
      <c r="B1171" s="606" t="s">
        <v>1044</v>
      </c>
      <c r="C1171" s="654">
        <v>82</v>
      </c>
      <c r="D1171" s="607">
        <v>875</v>
      </c>
      <c r="E1171" s="608">
        <v>826400</v>
      </c>
      <c r="F1171" s="609" t="s">
        <v>2075</v>
      </c>
      <c r="G1171" s="610"/>
      <c r="H1171" s="610"/>
      <c r="I1171" s="611" t="s">
        <v>175</v>
      </c>
      <c r="J1171" s="616">
        <v>484</v>
      </c>
      <c r="K1171" s="613">
        <v>484</v>
      </c>
      <c r="L1171" s="616">
        <v>484</v>
      </c>
      <c r="M1171" s="616">
        <v>484</v>
      </c>
      <c r="N1171" s="614">
        <v>484</v>
      </c>
      <c r="O1171" s="648"/>
      <c r="P1171" s="648"/>
      <c r="R1171" s="626"/>
      <c r="T1171" s="633"/>
      <c r="U1171" s="634"/>
    </row>
    <row r="1172" spans="2:21" ht="28">
      <c r="B1172" s="606" t="s">
        <v>1044</v>
      </c>
      <c r="C1172" s="654">
        <v>82</v>
      </c>
      <c r="D1172" s="607">
        <v>876</v>
      </c>
      <c r="E1172" s="608">
        <v>826400</v>
      </c>
      <c r="F1172" s="609" t="s">
        <v>2391</v>
      </c>
      <c r="G1172" s="610"/>
      <c r="H1172" s="610"/>
      <c r="I1172" s="611" t="s">
        <v>175</v>
      </c>
      <c r="J1172" s="616">
        <v>1668</v>
      </c>
      <c r="K1172" s="613">
        <v>1668</v>
      </c>
      <c r="L1172" s="616">
        <v>1668</v>
      </c>
      <c r="M1172" s="616">
        <v>1668</v>
      </c>
      <c r="N1172" s="614">
        <v>1667.809</v>
      </c>
      <c r="O1172" s="648"/>
      <c r="P1172" s="648"/>
      <c r="R1172" s="626"/>
      <c r="T1172" s="633"/>
      <c r="U1172" s="634"/>
    </row>
    <row r="1173" spans="2:21" ht="18.649999999999999" customHeight="1">
      <c r="B1173" s="606" t="s">
        <v>1044</v>
      </c>
      <c r="C1173" s="654">
        <v>82</v>
      </c>
      <c r="D1173" s="607">
        <v>877</v>
      </c>
      <c r="E1173" s="608">
        <v>826400</v>
      </c>
      <c r="F1173" s="609" t="s">
        <v>1686</v>
      </c>
      <c r="G1173" s="610"/>
      <c r="H1173" s="610"/>
      <c r="I1173" s="611" t="s">
        <v>175</v>
      </c>
      <c r="J1173" s="616">
        <v>569</v>
      </c>
      <c r="K1173" s="613">
        <v>569</v>
      </c>
      <c r="L1173" s="616">
        <v>569</v>
      </c>
      <c r="M1173" s="616">
        <v>569</v>
      </c>
      <c r="N1173" s="614">
        <v>568.995</v>
      </c>
      <c r="O1173" s="648"/>
      <c r="P1173" s="648"/>
      <c r="R1173" s="626"/>
      <c r="T1173" s="633"/>
      <c r="U1173" s="634"/>
    </row>
    <row r="1174" spans="2:21" ht="19.149999999999999" customHeight="1">
      <c r="B1174" s="606" t="s">
        <v>1044</v>
      </c>
      <c r="C1174" s="654">
        <v>82</v>
      </c>
      <c r="D1174" s="607">
        <v>878</v>
      </c>
      <c r="E1174" s="608">
        <v>826400</v>
      </c>
      <c r="F1174" s="609" t="s">
        <v>1588</v>
      </c>
      <c r="G1174" s="610"/>
      <c r="H1174" s="610"/>
      <c r="I1174" s="611" t="s">
        <v>175</v>
      </c>
      <c r="J1174" s="616">
        <v>761</v>
      </c>
      <c r="K1174" s="613">
        <v>761</v>
      </c>
      <c r="L1174" s="616">
        <v>761</v>
      </c>
      <c r="M1174" s="616">
        <v>761</v>
      </c>
      <c r="N1174" s="614">
        <v>760.9</v>
      </c>
      <c r="O1174" s="648"/>
      <c r="P1174" s="648"/>
      <c r="R1174" s="626"/>
      <c r="T1174" s="633"/>
      <c r="U1174" s="634"/>
    </row>
    <row r="1175" spans="2:21" ht="28">
      <c r="B1175" s="606" t="s">
        <v>1044</v>
      </c>
      <c r="C1175" s="654">
        <v>82</v>
      </c>
      <c r="D1175" s="607">
        <v>879</v>
      </c>
      <c r="E1175" s="608">
        <v>826400</v>
      </c>
      <c r="F1175" s="609" t="s">
        <v>1384</v>
      </c>
      <c r="G1175" s="610"/>
      <c r="H1175" s="610"/>
      <c r="I1175" s="611" t="s">
        <v>175</v>
      </c>
      <c r="J1175" s="616">
        <v>2217</v>
      </c>
      <c r="K1175" s="613">
        <v>2217</v>
      </c>
      <c r="L1175" s="616">
        <v>2217</v>
      </c>
      <c r="M1175" s="616">
        <v>2217</v>
      </c>
      <c r="N1175" s="614">
        <v>2217</v>
      </c>
      <c r="O1175" s="648"/>
      <c r="P1175" s="648"/>
      <c r="R1175" s="626"/>
      <c r="T1175" s="633"/>
      <c r="U1175" s="634"/>
    </row>
    <row r="1176" spans="2:21" ht="28">
      <c r="B1176" s="606" t="s">
        <v>1044</v>
      </c>
      <c r="C1176" s="654">
        <v>82</v>
      </c>
      <c r="D1176" s="607">
        <v>870</v>
      </c>
      <c r="E1176" s="608">
        <v>826401</v>
      </c>
      <c r="F1176" s="609" t="s">
        <v>1949</v>
      </c>
      <c r="G1176" s="610"/>
      <c r="H1176" s="610"/>
      <c r="I1176" s="611" t="s">
        <v>175</v>
      </c>
      <c r="J1176" s="616">
        <v>1495</v>
      </c>
      <c r="K1176" s="613">
        <v>1400</v>
      </c>
      <c r="L1176" s="616">
        <v>1400</v>
      </c>
      <c r="M1176" s="616">
        <v>1400</v>
      </c>
      <c r="N1176" s="614">
        <v>1400</v>
      </c>
      <c r="O1176" s="823"/>
      <c r="P1176" s="648"/>
      <c r="R1176" s="626"/>
      <c r="T1176" s="633"/>
      <c r="U1176" s="634"/>
    </row>
    <row r="1177" spans="2:21" ht="21.5">
      <c r="B1177" s="606" t="s">
        <v>1044</v>
      </c>
      <c r="C1177" s="654">
        <v>82</v>
      </c>
      <c r="D1177" s="607">
        <v>871</v>
      </c>
      <c r="E1177" s="608">
        <v>826401</v>
      </c>
      <c r="F1177" s="609" t="s">
        <v>2150</v>
      </c>
      <c r="G1177" s="610"/>
      <c r="H1177" s="610"/>
      <c r="I1177" s="611" t="s">
        <v>175</v>
      </c>
      <c r="J1177" s="616">
        <v>0</v>
      </c>
      <c r="K1177" s="613">
        <v>300</v>
      </c>
      <c r="L1177" s="616">
        <v>300</v>
      </c>
      <c r="M1177" s="616">
        <v>0</v>
      </c>
      <c r="N1177" s="614">
        <v>0</v>
      </c>
      <c r="O1177" s="823"/>
      <c r="P1177" s="648"/>
      <c r="R1177" s="626"/>
      <c r="T1177" s="633"/>
      <c r="U1177" s="634"/>
    </row>
    <row r="1178" spans="2:21" ht="19.149999999999999" customHeight="1">
      <c r="B1178" s="747"/>
      <c r="C1178" s="656"/>
      <c r="D1178" s="618"/>
      <c r="E1178" s="619" t="s">
        <v>1261</v>
      </c>
      <c r="F1178" s="620" t="s">
        <v>1045</v>
      </c>
      <c r="G1178" s="621">
        <f>SUM(G1163:G1177)</f>
        <v>0</v>
      </c>
      <c r="H1178" s="621">
        <f>SUM(H1163:H1177)</f>
        <v>0</v>
      </c>
      <c r="I1178" s="622"/>
      <c r="J1178" s="623">
        <f>SUM(J1163:J1177)</f>
        <v>13622</v>
      </c>
      <c r="K1178" s="624">
        <f>SUM(K1163:K1177)</f>
        <v>13827</v>
      </c>
      <c r="L1178" s="623">
        <f>SUM(L1163:L1177)</f>
        <v>13827</v>
      </c>
      <c r="M1178" s="623">
        <f>SUM(M1163:M1177)</f>
        <v>13527</v>
      </c>
      <c r="N1178" s="625">
        <f>SUM(N1163:N1177)</f>
        <v>13425.400600000001</v>
      </c>
      <c r="O1178" s="648"/>
      <c r="P1178" s="648"/>
      <c r="R1178" s="626"/>
      <c r="T1178" s="633"/>
      <c r="U1178" s="632"/>
    </row>
    <row r="1179" spans="2:21" ht="28">
      <c r="B1179" s="704"/>
      <c r="C1179" s="684"/>
      <c r="D1179" s="705"/>
      <c r="E1179" s="695" t="s">
        <v>980</v>
      </c>
      <c r="F1179" s="687" t="s">
        <v>1716</v>
      </c>
      <c r="G1179" s="706"/>
      <c r="H1179" s="706"/>
      <c r="I1179" s="707"/>
      <c r="J1179" s="690"/>
      <c r="K1179" s="693"/>
      <c r="L1179" s="690"/>
      <c r="M1179" s="690"/>
      <c r="N1179" s="708"/>
      <c r="O1179" s="648"/>
      <c r="P1179" s="648"/>
      <c r="R1179" s="626"/>
      <c r="T1179" s="633"/>
      <c r="U1179" s="632"/>
    </row>
    <row r="1180" spans="2:21" ht="19.149999999999999" customHeight="1">
      <c r="B1180" s="606" t="s">
        <v>981</v>
      </c>
      <c r="C1180" s="654">
        <v>10</v>
      </c>
      <c r="D1180" s="607">
        <v>540</v>
      </c>
      <c r="E1180" s="608">
        <v>826410</v>
      </c>
      <c r="F1180" s="609" t="s">
        <v>1648</v>
      </c>
      <c r="G1180" s="610"/>
      <c r="H1180" s="610"/>
      <c r="I1180" s="611" t="s">
        <v>175</v>
      </c>
      <c r="J1180" s="616">
        <v>0</v>
      </c>
      <c r="K1180" s="613">
        <v>0</v>
      </c>
      <c r="L1180" s="616">
        <v>4</v>
      </c>
      <c r="M1180" s="616">
        <v>4</v>
      </c>
      <c r="N1180" s="614">
        <v>1.69448</v>
      </c>
      <c r="O1180" s="648"/>
      <c r="P1180" s="648"/>
      <c r="R1180" s="626"/>
      <c r="T1180" s="633"/>
      <c r="U1180" s="634"/>
    </row>
    <row r="1181" spans="2:21" ht="19.149999999999999" customHeight="1">
      <c r="B1181" s="606" t="s">
        <v>981</v>
      </c>
      <c r="C1181" s="654">
        <v>5</v>
      </c>
      <c r="D1181" s="607">
        <v>750</v>
      </c>
      <c r="E1181" s="608">
        <v>826410</v>
      </c>
      <c r="F1181" s="609" t="s">
        <v>361</v>
      </c>
      <c r="G1181" s="610"/>
      <c r="H1181" s="610"/>
      <c r="I1181" s="611" t="s">
        <v>175</v>
      </c>
      <c r="J1181" s="616">
        <v>45</v>
      </c>
      <c r="K1181" s="613">
        <v>45</v>
      </c>
      <c r="L1181" s="616">
        <v>45</v>
      </c>
      <c r="M1181" s="616">
        <v>45</v>
      </c>
      <c r="N1181" s="614">
        <v>43.459139999999998</v>
      </c>
      <c r="O1181" s="648"/>
      <c r="P1181" s="648"/>
      <c r="R1181" s="626"/>
      <c r="T1181" s="633"/>
      <c r="U1181" s="634"/>
    </row>
    <row r="1182" spans="2:21" ht="19.149999999999999" customHeight="1">
      <c r="B1182" s="747"/>
      <c r="C1182" s="656"/>
      <c r="D1182" s="618"/>
      <c r="E1182" s="619" t="s">
        <v>980</v>
      </c>
      <c r="F1182" s="620" t="s">
        <v>1186</v>
      </c>
      <c r="G1182" s="621">
        <f>SUM(G1180:G1181)</f>
        <v>0</v>
      </c>
      <c r="H1182" s="621">
        <f>SUM(H1180:H1181)</f>
        <v>0</v>
      </c>
      <c r="I1182" s="622"/>
      <c r="J1182" s="623">
        <f>SUM(J1180:J1181)</f>
        <v>45</v>
      </c>
      <c r="K1182" s="624">
        <f>SUM(K1180:K1181)</f>
        <v>45</v>
      </c>
      <c r="L1182" s="623">
        <f>SUM(L1180:L1181)</f>
        <v>49</v>
      </c>
      <c r="M1182" s="623">
        <f>SUM(M1180:M1181)</f>
        <v>49</v>
      </c>
      <c r="N1182" s="625">
        <f>SUM(N1180:N1181)</f>
        <v>45.153619999999997</v>
      </c>
      <c r="O1182" s="648"/>
      <c r="P1182" s="648"/>
      <c r="R1182" s="626"/>
      <c r="T1182" s="633"/>
      <c r="U1182" s="632"/>
    </row>
    <row r="1183" spans="2:21" ht="19.149999999999999" customHeight="1">
      <c r="B1183" s="704"/>
      <c r="C1183" s="684"/>
      <c r="D1183" s="705"/>
      <c r="E1183" s="695" t="s">
        <v>599</v>
      </c>
      <c r="F1183" s="687" t="s">
        <v>788</v>
      </c>
      <c r="G1183" s="706"/>
      <c r="H1183" s="706"/>
      <c r="I1183" s="707"/>
      <c r="J1183" s="690"/>
      <c r="K1183" s="693"/>
      <c r="L1183" s="690"/>
      <c r="M1183" s="690"/>
      <c r="N1183" s="708"/>
      <c r="O1183" s="648"/>
      <c r="P1183" s="648"/>
      <c r="R1183" s="626"/>
      <c r="T1183" s="633"/>
      <c r="U1183" s="632"/>
    </row>
    <row r="1184" spans="2:21" ht="19.149999999999999" customHeight="1">
      <c r="B1184" s="606" t="s">
        <v>788</v>
      </c>
      <c r="C1184" s="654">
        <v>82</v>
      </c>
      <c r="D1184" s="607">
        <v>100</v>
      </c>
      <c r="E1184" s="608">
        <v>827000</v>
      </c>
      <c r="F1184" s="609" t="s">
        <v>28</v>
      </c>
      <c r="G1184" s="610">
        <v>2.5</v>
      </c>
      <c r="H1184" s="610">
        <v>2.5</v>
      </c>
      <c r="I1184" s="611" t="s">
        <v>669</v>
      </c>
      <c r="J1184" s="616">
        <v>325</v>
      </c>
      <c r="K1184" s="613">
        <v>315</v>
      </c>
      <c r="L1184" s="616">
        <v>325</v>
      </c>
      <c r="M1184" s="616">
        <v>325</v>
      </c>
      <c r="N1184" s="614">
        <v>298.07092</v>
      </c>
      <c r="O1184" s="648"/>
      <c r="P1184" s="648"/>
      <c r="R1184" s="626"/>
      <c r="T1184" s="633"/>
      <c r="U1184" s="634"/>
    </row>
    <row r="1185" spans="2:25" ht="14">
      <c r="B1185" s="606" t="s">
        <v>788</v>
      </c>
      <c r="C1185" s="654">
        <v>2</v>
      </c>
      <c r="D1185" s="607">
        <v>410</v>
      </c>
      <c r="E1185" s="608">
        <v>827000</v>
      </c>
      <c r="F1185" s="609" t="s">
        <v>1372</v>
      </c>
      <c r="G1185" s="610"/>
      <c r="H1185" s="610"/>
      <c r="I1185" s="611" t="s">
        <v>175</v>
      </c>
      <c r="J1185" s="616">
        <v>68</v>
      </c>
      <c r="K1185" s="613">
        <v>68</v>
      </c>
      <c r="L1185" s="616">
        <v>68</v>
      </c>
      <c r="M1185" s="616">
        <v>68</v>
      </c>
      <c r="N1185" s="614">
        <v>64.977500000000006</v>
      </c>
      <c r="O1185" s="648"/>
      <c r="P1185" s="648"/>
      <c r="R1185" s="626"/>
      <c r="T1185" s="633"/>
      <c r="U1185" s="634"/>
    </row>
    <row r="1186" spans="2:25" ht="19.149999999999999" customHeight="1">
      <c r="B1186" s="606" t="s">
        <v>788</v>
      </c>
      <c r="C1186" s="654">
        <v>82</v>
      </c>
      <c r="D1186" s="607">
        <v>560</v>
      </c>
      <c r="E1186" s="608">
        <v>827000</v>
      </c>
      <c r="F1186" s="609" t="s">
        <v>1321</v>
      </c>
      <c r="G1186" s="610"/>
      <c r="H1186" s="610"/>
      <c r="I1186" s="611" t="s">
        <v>44</v>
      </c>
      <c r="J1186" s="616">
        <v>25</v>
      </c>
      <c r="K1186" s="613">
        <v>28</v>
      </c>
      <c r="L1186" s="616">
        <v>28</v>
      </c>
      <c r="M1186" s="616">
        <v>28</v>
      </c>
      <c r="N1186" s="614">
        <v>27.04664</v>
      </c>
      <c r="O1186" s="648"/>
      <c r="P1186" s="648"/>
      <c r="R1186" s="626"/>
      <c r="T1186" s="633"/>
      <c r="U1186" s="634"/>
    </row>
    <row r="1187" spans="2:25" ht="19.149999999999999" customHeight="1">
      <c r="B1187" s="606" t="s">
        <v>788</v>
      </c>
      <c r="C1187" s="655">
        <v>82</v>
      </c>
      <c r="D1187" s="615">
        <v>780</v>
      </c>
      <c r="E1187" s="608">
        <v>827000</v>
      </c>
      <c r="F1187" s="609" t="s">
        <v>1902</v>
      </c>
      <c r="G1187" s="610"/>
      <c r="H1187" s="610"/>
      <c r="I1187" s="611" t="s">
        <v>44</v>
      </c>
      <c r="J1187" s="616">
        <f>297</f>
        <v>297</v>
      </c>
      <c r="K1187" s="613">
        <v>243</v>
      </c>
      <c r="L1187" s="616">
        <v>243</v>
      </c>
      <c r="M1187" s="616">
        <v>313</v>
      </c>
      <c r="N1187" s="614">
        <v>313</v>
      </c>
      <c r="O1187" s="648"/>
      <c r="P1187" s="648"/>
      <c r="R1187" s="626"/>
      <c r="T1187" s="633"/>
      <c r="U1187" s="634"/>
    </row>
    <row r="1188" spans="2:25" ht="28">
      <c r="B1188" s="606" t="s">
        <v>788</v>
      </c>
      <c r="C1188" s="654">
        <v>82</v>
      </c>
      <c r="D1188" s="607">
        <v>781</v>
      </c>
      <c r="E1188" s="608">
        <v>827000</v>
      </c>
      <c r="F1188" s="609" t="s">
        <v>1968</v>
      </c>
      <c r="G1188" s="610"/>
      <c r="H1188" s="610"/>
      <c r="I1188" s="611" t="s">
        <v>44</v>
      </c>
      <c r="J1188" s="616">
        <v>340</v>
      </c>
      <c r="K1188" s="613">
        <v>103</v>
      </c>
      <c r="L1188" s="616">
        <v>340</v>
      </c>
      <c r="M1188" s="616">
        <v>340</v>
      </c>
      <c r="N1188" s="614">
        <v>345.29678000000001</v>
      </c>
      <c r="O1188" s="648"/>
      <c r="P1188" s="648"/>
      <c r="R1188" s="626"/>
      <c r="T1188" s="633"/>
      <c r="U1188" s="634"/>
    </row>
    <row r="1189" spans="2:25" ht="19.149999999999999" customHeight="1">
      <c r="B1189" s="747"/>
      <c r="C1189" s="656"/>
      <c r="D1189" s="618"/>
      <c r="E1189" s="619" t="s">
        <v>599</v>
      </c>
      <c r="F1189" s="755" t="s">
        <v>1714</v>
      </c>
      <c r="G1189" s="621">
        <f>SUM(G1184:G1188)</f>
        <v>2.5</v>
      </c>
      <c r="H1189" s="621">
        <f>SUM(H1184:H1188)</f>
        <v>2.5</v>
      </c>
      <c r="I1189" s="622"/>
      <c r="J1189" s="623">
        <f>SUM(J1184:J1188)</f>
        <v>1055</v>
      </c>
      <c r="K1189" s="624">
        <f>SUM(K1184:K1188)</f>
        <v>757</v>
      </c>
      <c r="L1189" s="623">
        <f>SUM(L1184:L1188)</f>
        <v>1004</v>
      </c>
      <c r="M1189" s="623">
        <f>SUM(M1184:M1188)</f>
        <v>1074</v>
      </c>
      <c r="N1189" s="625">
        <f>SUM(N1184:N1188)</f>
        <v>1048.3918400000002</v>
      </c>
      <c r="O1189" s="648"/>
      <c r="P1189" s="648"/>
      <c r="R1189" s="626"/>
      <c r="T1189" s="633"/>
      <c r="U1189" s="632"/>
    </row>
    <row r="1190" spans="2:25" ht="19.149999999999999" customHeight="1">
      <c r="B1190" s="747"/>
      <c r="C1190" s="656"/>
      <c r="D1190" s="618"/>
      <c r="E1190" s="619" t="s">
        <v>652</v>
      </c>
      <c r="F1190" s="620" t="s">
        <v>653</v>
      </c>
      <c r="G1190" s="621">
        <f>SUMIF($E$1002:$E$1189,"*.",G1002:G1189)</f>
        <v>43.570000000000007</v>
      </c>
      <c r="H1190" s="621">
        <f>SUMIF($E$1002:$E$1189,"*.",H1002:H1189)</f>
        <v>40.002799999999993</v>
      </c>
      <c r="I1190" s="622"/>
      <c r="J1190" s="623">
        <f>SUMIF($E$1002:$E$1189,"*.",J1002:J1189)</f>
        <v>37819</v>
      </c>
      <c r="K1190" s="624">
        <f>SUMIF($E$1002:$E$1189,"*.",K1002:K1189)</f>
        <v>35078</v>
      </c>
      <c r="L1190" s="623">
        <f>SUMIF($E$1002:$E$1189,"*.",L1002:L1189)</f>
        <v>36312</v>
      </c>
      <c r="M1190" s="623">
        <f>SUMIF($E$1002:$E$1189,"*.",M1002:M1189)</f>
        <v>39021</v>
      </c>
      <c r="N1190" s="625">
        <f>SUMIF($E$1002:$E$1189,"*.",N1002:N1189)</f>
        <v>38173.582920000001</v>
      </c>
      <c r="O1190" s="648"/>
      <c r="P1190" s="648"/>
      <c r="R1190" s="626"/>
      <c r="T1190" s="633"/>
      <c r="U1190" s="632"/>
    </row>
    <row r="1191" spans="2:25" ht="19.149999999999999" customHeight="1">
      <c r="B1191" s="704"/>
      <c r="C1191" s="684"/>
      <c r="D1191" s="705"/>
      <c r="E1191" s="695" t="s">
        <v>654</v>
      </c>
      <c r="F1191" s="687" t="s">
        <v>983</v>
      </c>
      <c r="G1191" s="706"/>
      <c r="H1191" s="706"/>
      <c r="I1191" s="707"/>
      <c r="J1191" s="690"/>
      <c r="K1191" s="693"/>
      <c r="L1191" s="690"/>
      <c r="M1191" s="690"/>
      <c r="N1191" s="708"/>
      <c r="O1191" s="648"/>
      <c r="P1191" s="648"/>
      <c r="R1191" s="626"/>
      <c r="T1191" s="633"/>
      <c r="U1191" s="632"/>
    </row>
    <row r="1192" spans="2:25" ht="19.149999999999999" customHeight="1">
      <c r="B1192" s="606" t="s">
        <v>983</v>
      </c>
      <c r="C1192" s="654">
        <v>82</v>
      </c>
      <c r="D1192" s="607">
        <v>100</v>
      </c>
      <c r="E1192" s="608">
        <v>828100</v>
      </c>
      <c r="F1192" s="609" t="s">
        <v>984</v>
      </c>
      <c r="G1192" s="610">
        <v>3</v>
      </c>
      <c r="H1192" s="610">
        <v>3</v>
      </c>
      <c r="I1192" s="611" t="s">
        <v>669</v>
      </c>
      <c r="J1192" s="616">
        <f>926-277</f>
        <v>649</v>
      </c>
      <c r="K1192" s="613">
        <v>905</v>
      </c>
      <c r="L1192" s="616">
        <v>960</v>
      </c>
      <c r="M1192" s="616">
        <v>960</v>
      </c>
      <c r="N1192" s="614">
        <v>878.25747000000001</v>
      </c>
      <c r="O1192" s="648"/>
      <c r="P1192" s="648"/>
      <c r="R1192" s="626"/>
      <c r="T1192" s="633"/>
      <c r="U1192" s="634"/>
      <c r="Y1192" s="657"/>
    </row>
    <row r="1193" spans="2:25" ht="19.149999999999999" customHeight="1">
      <c r="B1193" s="606" t="s">
        <v>983</v>
      </c>
      <c r="C1193" s="655">
        <v>82</v>
      </c>
      <c r="D1193" s="615">
        <v>101</v>
      </c>
      <c r="E1193" s="608">
        <v>828100</v>
      </c>
      <c r="F1193" s="609" t="s">
        <v>1801</v>
      </c>
      <c r="G1193" s="610">
        <v>3.2</v>
      </c>
      <c r="H1193" s="610">
        <v>1.7166833333333331</v>
      </c>
      <c r="I1193" s="611" t="s">
        <v>669</v>
      </c>
      <c r="J1193" s="616">
        <v>500</v>
      </c>
      <c r="K1193" s="613">
        <v>441</v>
      </c>
      <c r="L1193" s="616">
        <v>1007</v>
      </c>
      <c r="M1193" s="616">
        <v>1027</v>
      </c>
      <c r="N1193" s="614">
        <v>334.92682000000002</v>
      </c>
      <c r="O1193" s="648"/>
      <c r="P1193" s="648"/>
      <c r="R1193" s="626"/>
      <c r="T1193" s="633"/>
      <c r="U1193" s="634"/>
    </row>
    <row r="1194" spans="2:25" ht="19.149999999999999" customHeight="1">
      <c r="B1194" s="606" t="s">
        <v>983</v>
      </c>
      <c r="C1194" s="654">
        <v>2</v>
      </c>
      <c r="D1194" s="607">
        <v>410</v>
      </c>
      <c r="E1194" s="608">
        <v>828100</v>
      </c>
      <c r="F1194" s="609" t="s">
        <v>1918</v>
      </c>
      <c r="G1194" s="610"/>
      <c r="H1194" s="610"/>
      <c r="I1194" s="611" t="s">
        <v>175</v>
      </c>
      <c r="J1194" s="616">
        <v>145</v>
      </c>
      <c r="K1194" s="613">
        <v>124</v>
      </c>
      <c r="L1194" s="616">
        <v>124</v>
      </c>
      <c r="M1194" s="616">
        <v>68</v>
      </c>
      <c r="N1194" s="614">
        <v>64.213999999999999</v>
      </c>
      <c r="O1194" s="648"/>
      <c r="P1194" s="648"/>
      <c r="R1194" s="626"/>
      <c r="T1194" s="633"/>
      <c r="U1194" s="634"/>
    </row>
    <row r="1195" spans="2:25" ht="18.649999999999999" customHeight="1">
      <c r="B1195" s="606" t="s">
        <v>983</v>
      </c>
      <c r="C1195" s="654">
        <v>10</v>
      </c>
      <c r="D1195" s="607">
        <v>540</v>
      </c>
      <c r="E1195" s="608">
        <v>828100</v>
      </c>
      <c r="F1195" s="609" t="s">
        <v>1648</v>
      </c>
      <c r="G1195" s="610"/>
      <c r="H1195" s="610"/>
      <c r="I1195" s="611" t="s">
        <v>175</v>
      </c>
      <c r="J1195" s="616">
        <v>1</v>
      </c>
      <c r="K1195" s="613">
        <v>1</v>
      </c>
      <c r="L1195" s="616">
        <v>1</v>
      </c>
      <c r="M1195" s="616">
        <v>1</v>
      </c>
      <c r="N1195" s="614">
        <v>0.30096000000000001</v>
      </c>
      <c r="O1195" s="648"/>
      <c r="P1195" s="648"/>
      <c r="R1195" s="626"/>
      <c r="T1195" s="633"/>
      <c r="U1195" s="634"/>
    </row>
    <row r="1196" spans="2:25" ht="19.149999999999999" customHeight="1">
      <c r="B1196" s="606" t="s">
        <v>983</v>
      </c>
      <c r="C1196" s="654">
        <v>82</v>
      </c>
      <c r="D1196" s="607">
        <v>755</v>
      </c>
      <c r="E1196" s="608">
        <v>828100</v>
      </c>
      <c r="F1196" s="609" t="s">
        <v>1932</v>
      </c>
      <c r="G1196" s="610"/>
      <c r="H1196" s="610"/>
      <c r="I1196" s="611" t="s">
        <v>44</v>
      </c>
      <c r="J1196" s="616">
        <v>0</v>
      </c>
      <c r="K1196" s="613">
        <v>0</v>
      </c>
      <c r="L1196" s="616">
        <v>0</v>
      </c>
      <c r="M1196" s="616">
        <v>0</v>
      </c>
      <c r="N1196" s="614">
        <v>44.725999999999999</v>
      </c>
      <c r="O1196" s="648"/>
      <c r="P1196" s="648"/>
      <c r="R1196" s="626"/>
      <c r="T1196" s="633"/>
      <c r="U1196" s="634"/>
    </row>
    <row r="1197" spans="2:25" ht="19.149999999999999" customHeight="1">
      <c r="B1197" s="606" t="s">
        <v>983</v>
      </c>
      <c r="C1197" s="654">
        <v>82</v>
      </c>
      <c r="D1197" s="607">
        <v>781</v>
      </c>
      <c r="E1197" s="608">
        <v>828100</v>
      </c>
      <c r="F1197" s="609" t="s">
        <v>1657</v>
      </c>
      <c r="G1197" s="610"/>
      <c r="H1197" s="610"/>
      <c r="I1197" s="611" t="s">
        <v>44</v>
      </c>
      <c r="J1197" s="616">
        <v>50</v>
      </c>
      <c r="K1197" s="613">
        <v>50</v>
      </c>
      <c r="L1197" s="616">
        <v>50</v>
      </c>
      <c r="M1197" s="616">
        <v>50</v>
      </c>
      <c r="N1197" s="614">
        <v>49.826449999999994</v>
      </c>
      <c r="O1197" s="648"/>
      <c r="P1197" s="648"/>
      <c r="R1197" s="626"/>
      <c r="T1197" s="633"/>
      <c r="U1197" s="634"/>
    </row>
    <row r="1198" spans="2:25" ht="18" customHeight="1">
      <c r="B1198" s="606" t="s">
        <v>983</v>
      </c>
      <c r="C1198" s="655">
        <v>82</v>
      </c>
      <c r="D1198" s="615">
        <v>782</v>
      </c>
      <c r="E1198" s="608">
        <v>828100</v>
      </c>
      <c r="F1198" s="609" t="s">
        <v>1841</v>
      </c>
      <c r="G1198" s="610"/>
      <c r="H1198" s="610"/>
      <c r="I1198" s="611" t="s">
        <v>44</v>
      </c>
      <c r="J1198" s="616">
        <v>77</v>
      </c>
      <c r="K1198" s="613">
        <v>36</v>
      </c>
      <c r="L1198" s="616">
        <v>36</v>
      </c>
      <c r="M1198" s="616">
        <v>86</v>
      </c>
      <c r="N1198" s="614">
        <v>86</v>
      </c>
      <c r="O1198" s="648"/>
      <c r="P1198" s="648"/>
      <c r="R1198" s="626"/>
      <c r="T1198" s="633"/>
      <c r="U1198" s="634"/>
    </row>
    <row r="1199" spans="2:25" ht="19.149999999999999" customHeight="1">
      <c r="B1199" s="606" t="s">
        <v>983</v>
      </c>
      <c r="C1199" s="655">
        <v>82</v>
      </c>
      <c r="D1199" s="615">
        <v>783</v>
      </c>
      <c r="E1199" s="608">
        <v>828100</v>
      </c>
      <c r="F1199" s="609" t="s">
        <v>1665</v>
      </c>
      <c r="G1199" s="610"/>
      <c r="H1199" s="610"/>
      <c r="I1199" s="611" t="s">
        <v>44</v>
      </c>
      <c r="J1199" s="616">
        <v>187</v>
      </c>
      <c r="K1199" s="613">
        <v>187</v>
      </c>
      <c r="L1199" s="616">
        <v>187</v>
      </c>
      <c r="M1199" s="616">
        <v>198</v>
      </c>
      <c r="N1199" s="614">
        <v>221.69070000000002</v>
      </c>
      <c r="O1199" s="648"/>
      <c r="P1199" s="648"/>
      <c r="R1199" s="626"/>
      <c r="T1199" s="633"/>
      <c r="U1199" s="634"/>
    </row>
    <row r="1200" spans="2:25" ht="19.149999999999999" customHeight="1">
      <c r="B1200" s="606" t="s">
        <v>983</v>
      </c>
      <c r="C1200" s="654">
        <v>82</v>
      </c>
      <c r="D1200" s="607">
        <v>784</v>
      </c>
      <c r="E1200" s="608">
        <v>828100</v>
      </c>
      <c r="F1200" s="609" t="s">
        <v>1311</v>
      </c>
      <c r="G1200" s="610"/>
      <c r="H1200" s="610"/>
      <c r="I1200" s="611" t="s">
        <v>44</v>
      </c>
      <c r="J1200" s="616">
        <v>175</v>
      </c>
      <c r="K1200" s="613">
        <v>161</v>
      </c>
      <c r="L1200" s="616">
        <v>161</v>
      </c>
      <c r="M1200" s="616">
        <v>191</v>
      </c>
      <c r="N1200" s="614">
        <v>190.96092999999999</v>
      </c>
      <c r="O1200" s="648"/>
      <c r="P1200" s="648"/>
      <c r="R1200" s="626"/>
      <c r="T1200" s="633"/>
      <c r="U1200" s="634"/>
    </row>
    <row r="1201" spans="2:26" ht="28">
      <c r="B1201" s="606" t="s">
        <v>983</v>
      </c>
      <c r="C1201" s="654">
        <v>82</v>
      </c>
      <c r="D1201" s="607">
        <v>785</v>
      </c>
      <c r="E1201" s="608">
        <v>828100</v>
      </c>
      <c r="F1201" s="609" t="s">
        <v>1811</v>
      </c>
      <c r="G1201" s="610"/>
      <c r="H1201" s="610"/>
      <c r="I1201" s="611" t="s">
        <v>175</v>
      </c>
      <c r="J1201" s="616">
        <v>560</v>
      </c>
      <c r="K1201" s="613">
        <v>229</v>
      </c>
      <c r="L1201" s="616">
        <v>560</v>
      </c>
      <c r="M1201" s="616">
        <v>560</v>
      </c>
      <c r="N1201" s="614">
        <v>211.50471999999999</v>
      </c>
      <c r="O1201" s="648"/>
      <c r="P1201" s="648"/>
      <c r="R1201" s="626"/>
      <c r="T1201" s="633"/>
      <c r="U1201" s="634"/>
    </row>
    <row r="1202" spans="2:26" ht="14">
      <c r="B1202" s="606" t="s">
        <v>983</v>
      </c>
      <c r="C1202" s="654">
        <v>82</v>
      </c>
      <c r="D1202" s="607">
        <v>787</v>
      </c>
      <c r="E1202" s="608">
        <v>828100</v>
      </c>
      <c r="F1202" s="609" t="s">
        <v>1656</v>
      </c>
      <c r="G1202" s="610"/>
      <c r="H1202" s="610"/>
      <c r="I1202" s="611" t="s">
        <v>44</v>
      </c>
      <c r="J1202" s="616">
        <f>95</f>
        <v>95</v>
      </c>
      <c r="K1202" s="613">
        <v>100</v>
      </c>
      <c r="L1202" s="616">
        <v>100</v>
      </c>
      <c r="M1202" s="616">
        <v>100</v>
      </c>
      <c r="N1202" s="614">
        <v>80.747979999999998</v>
      </c>
      <c r="O1202" s="648"/>
      <c r="P1202" s="648"/>
      <c r="R1202" s="626"/>
      <c r="T1202" s="633"/>
      <c r="U1202" s="634"/>
    </row>
    <row r="1203" spans="2:26" ht="28">
      <c r="B1203" s="606" t="s">
        <v>983</v>
      </c>
      <c r="C1203" s="654">
        <v>82</v>
      </c>
      <c r="D1203" s="607">
        <v>788</v>
      </c>
      <c r="E1203" s="608">
        <v>828100</v>
      </c>
      <c r="F1203" s="609" t="s">
        <v>1969</v>
      </c>
      <c r="G1203" s="610"/>
      <c r="H1203" s="610"/>
      <c r="I1203" s="611" t="s">
        <v>44</v>
      </c>
      <c r="J1203" s="616">
        <v>290</v>
      </c>
      <c r="K1203" s="613">
        <v>47</v>
      </c>
      <c r="L1203" s="616">
        <v>290</v>
      </c>
      <c r="M1203" s="616">
        <v>290</v>
      </c>
      <c r="N1203" s="614">
        <v>226.16639999999998</v>
      </c>
      <c r="O1203" s="648"/>
      <c r="P1203" s="648"/>
      <c r="R1203" s="626"/>
      <c r="T1203" s="633"/>
      <c r="U1203" s="634"/>
    </row>
    <row r="1204" spans="2:26" ht="28">
      <c r="B1204" s="606" t="s">
        <v>983</v>
      </c>
      <c r="C1204" s="654">
        <v>82</v>
      </c>
      <c r="D1204" s="607">
        <v>871</v>
      </c>
      <c r="E1204" s="608">
        <v>828100</v>
      </c>
      <c r="F1204" s="609" t="s">
        <v>1990</v>
      </c>
      <c r="G1204" s="610"/>
      <c r="H1204" s="610"/>
      <c r="I1204" s="611" t="s">
        <v>175</v>
      </c>
      <c r="J1204" s="616">
        <v>180</v>
      </c>
      <c r="K1204" s="613">
        <v>180</v>
      </c>
      <c r="L1204" s="616">
        <v>180</v>
      </c>
      <c r="M1204" s="616">
        <v>180</v>
      </c>
      <c r="N1204" s="614">
        <v>180</v>
      </c>
      <c r="O1204" s="648"/>
      <c r="P1204" s="648"/>
      <c r="R1204" s="626"/>
      <c r="T1204" s="633"/>
      <c r="U1204" s="634"/>
    </row>
    <row r="1205" spans="2:26" ht="19.149999999999999" customHeight="1">
      <c r="B1205" s="747"/>
      <c r="C1205" s="656"/>
      <c r="D1205" s="618"/>
      <c r="E1205" s="619" t="s">
        <v>654</v>
      </c>
      <c r="F1205" s="620" t="s">
        <v>890</v>
      </c>
      <c r="G1205" s="621">
        <f>SUM(G1192:G1203)</f>
        <v>6.2</v>
      </c>
      <c r="H1205" s="621">
        <f>SUM(H1192:H1203)</f>
        <v>4.7166833333333331</v>
      </c>
      <c r="I1205" s="622"/>
      <c r="J1205" s="623">
        <f>SUM(J1192:J1204)</f>
        <v>2909</v>
      </c>
      <c r="K1205" s="624">
        <f>SUM(K1192:K1204)</f>
        <v>2461</v>
      </c>
      <c r="L1205" s="623">
        <f>SUM(L1192:L1204)</f>
        <v>3656</v>
      </c>
      <c r="M1205" s="623">
        <f>SUM(M1192:M1204)</f>
        <v>3711</v>
      </c>
      <c r="N1205" s="625">
        <f>SUM(N1192:N1204)</f>
        <v>2569.3224300000006</v>
      </c>
      <c r="O1205" s="648"/>
      <c r="P1205" s="648"/>
      <c r="R1205" s="626"/>
      <c r="T1205" s="633"/>
      <c r="U1205" s="632"/>
    </row>
    <row r="1206" spans="2:26" ht="19.149999999999999" customHeight="1">
      <c r="B1206" s="704"/>
      <c r="C1206" s="684"/>
      <c r="D1206" s="705"/>
      <c r="E1206" s="695" t="s">
        <v>763</v>
      </c>
      <c r="F1206" s="687" t="s">
        <v>1263</v>
      </c>
      <c r="G1206" s="706"/>
      <c r="H1206" s="706"/>
      <c r="I1206" s="707"/>
      <c r="J1206" s="690"/>
      <c r="K1206" s="693"/>
      <c r="L1206" s="690"/>
      <c r="M1206" s="690"/>
      <c r="N1206" s="824"/>
      <c r="O1206" s="648"/>
      <c r="P1206" s="648"/>
      <c r="R1206" s="626"/>
      <c r="T1206" s="633"/>
      <c r="U1206" s="632"/>
    </row>
    <row r="1207" spans="2:26" ht="19.149999999999999" customHeight="1">
      <c r="B1207" s="606" t="s">
        <v>171</v>
      </c>
      <c r="C1207" s="654">
        <v>5</v>
      </c>
      <c r="D1207" s="607">
        <v>420</v>
      </c>
      <c r="E1207" s="608">
        <v>828200</v>
      </c>
      <c r="F1207" s="710" t="s">
        <v>964</v>
      </c>
      <c r="G1207" s="610"/>
      <c r="H1207" s="610"/>
      <c r="I1207" s="611" t="s">
        <v>44</v>
      </c>
      <c r="J1207" s="616">
        <v>43</v>
      </c>
      <c r="K1207" s="613">
        <v>43</v>
      </c>
      <c r="L1207" s="616">
        <v>43</v>
      </c>
      <c r="M1207" s="616">
        <v>43</v>
      </c>
      <c r="N1207" s="614">
        <v>41.659399999999998</v>
      </c>
      <c r="O1207" s="648"/>
      <c r="P1207" s="648"/>
      <c r="R1207" s="626"/>
      <c r="T1207" s="633"/>
      <c r="U1207" s="634"/>
    </row>
    <row r="1208" spans="2:26" ht="19.149999999999999" customHeight="1">
      <c r="B1208" s="606" t="s">
        <v>171</v>
      </c>
      <c r="C1208" s="654">
        <v>82</v>
      </c>
      <c r="D1208" s="607">
        <v>870</v>
      </c>
      <c r="E1208" s="608">
        <v>828200</v>
      </c>
      <c r="F1208" s="710" t="s">
        <v>1812</v>
      </c>
      <c r="G1208" s="825"/>
      <c r="H1208" s="826"/>
      <c r="I1208" s="611" t="s">
        <v>175</v>
      </c>
      <c r="J1208" s="616">
        <v>1451</v>
      </c>
      <c r="K1208" s="613">
        <v>1511</v>
      </c>
      <c r="L1208" s="616">
        <v>1511</v>
      </c>
      <c r="M1208" s="616">
        <v>1451</v>
      </c>
      <c r="N1208" s="614">
        <v>1451</v>
      </c>
      <c r="O1208" s="648"/>
      <c r="P1208" s="648"/>
      <c r="R1208" s="626"/>
      <c r="T1208" s="633"/>
      <c r="U1208" s="634"/>
    </row>
    <row r="1209" spans="2:26" ht="19.149999999999999" customHeight="1">
      <c r="B1209" s="747"/>
      <c r="C1209" s="656"/>
      <c r="D1209" s="618"/>
      <c r="E1209" s="619" t="s">
        <v>763</v>
      </c>
      <c r="F1209" s="620" t="s">
        <v>1001</v>
      </c>
      <c r="G1209" s="621">
        <f>SUM(G1206:G1207)</f>
        <v>0</v>
      </c>
      <c r="H1209" s="621">
        <f>SUM(H1206:H1207)</f>
        <v>0</v>
      </c>
      <c r="I1209" s="622"/>
      <c r="J1209" s="623">
        <f>SUM(J1207:J1208)</f>
        <v>1494</v>
      </c>
      <c r="K1209" s="624">
        <f>SUM(K1207:K1208)</f>
        <v>1554</v>
      </c>
      <c r="L1209" s="623">
        <f>SUM(L1207:L1208)</f>
        <v>1554</v>
      </c>
      <c r="M1209" s="623">
        <f>SUM(M1207:M1208)</f>
        <v>1494</v>
      </c>
      <c r="N1209" s="625">
        <f>SUM(N1207:N1208)</f>
        <v>1492.6594</v>
      </c>
      <c r="O1209" s="648"/>
      <c r="P1209" s="648"/>
      <c r="R1209" s="626"/>
      <c r="T1209" s="633"/>
      <c r="U1209" s="632"/>
    </row>
    <row r="1210" spans="2:26" ht="19.149999999999999" customHeight="1">
      <c r="B1210" s="704"/>
      <c r="C1210" s="684"/>
      <c r="D1210" s="705"/>
      <c r="E1210" s="695" t="s">
        <v>447</v>
      </c>
      <c r="F1210" s="687" t="s">
        <v>789</v>
      </c>
      <c r="G1210" s="706"/>
      <c r="H1210" s="706"/>
      <c r="I1210" s="707"/>
      <c r="J1210" s="690"/>
      <c r="K1210" s="693"/>
      <c r="L1210" s="690"/>
      <c r="M1210" s="690"/>
      <c r="N1210" s="708"/>
      <c r="O1210" s="648"/>
      <c r="P1210" s="648"/>
      <c r="R1210" s="626"/>
      <c r="T1210" s="633"/>
      <c r="U1210" s="632"/>
    </row>
    <row r="1211" spans="2:26" ht="19.149999999999999" customHeight="1">
      <c r="B1211" s="606" t="s">
        <v>789</v>
      </c>
      <c r="C1211" s="655">
        <v>82</v>
      </c>
      <c r="D1211" s="615">
        <v>100</v>
      </c>
      <c r="E1211" s="608">
        <v>828900</v>
      </c>
      <c r="F1211" s="609" t="s">
        <v>1058</v>
      </c>
      <c r="G1211" s="610">
        <v>4</v>
      </c>
      <c r="H1211" s="610">
        <v>4</v>
      </c>
      <c r="I1211" s="611" t="s">
        <v>669</v>
      </c>
      <c r="J1211" s="616">
        <v>906</v>
      </c>
      <c r="K1211" s="613">
        <v>818</v>
      </c>
      <c r="L1211" s="616">
        <v>818</v>
      </c>
      <c r="M1211" s="616">
        <v>895</v>
      </c>
      <c r="N1211" s="614">
        <v>857.70173</v>
      </c>
      <c r="O1211" s="648"/>
      <c r="P1211" s="648"/>
      <c r="R1211" s="626"/>
      <c r="T1211" s="633"/>
      <c r="U1211" s="634"/>
    </row>
    <row r="1212" spans="2:26" ht="19.149999999999999" customHeight="1">
      <c r="B1212" s="606" t="s">
        <v>789</v>
      </c>
      <c r="C1212" s="654">
        <v>82</v>
      </c>
      <c r="D1212" s="607">
        <v>780</v>
      </c>
      <c r="E1212" s="608">
        <v>828900</v>
      </c>
      <c r="F1212" s="609" t="s">
        <v>880</v>
      </c>
      <c r="G1212" s="610"/>
      <c r="H1212" s="610"/>
      <c r="I1212" s="611" t="s">
        <v>44</v>
      </c>
      <c r="J1212" s="616">
        <v>91</v>
      </c>
      <c r="K1212" s="613">
        <v>96</v>
      </c>
      <c r="L1212" s="616">
        <v>96</v>
      </c>
      <c r="M1212" s="616">
        <v>96</v>
      </c>
      <c r="N1212" s="614">
        <v>84.9405</v>
      </c>
      <c r="O1212" s="648"/>
      <c r="P1212" s="648"/>
      <c r="R1212" s="626"/>
      <c r="T1212" s="633"/>
      <c r="U1212" s="634"/>
    </row>
    <row r="1213" spans="2:26" ht="19.149999999999999" customHeight="1">
      <c r="B1213" s="606" t="s">
        <v>789</v>
      </c>
      <c r="C1213" s="654">
        <v>82</v>
      </c>
      <c r="D1213" s="607">
        <v>781</v>
      </c>
      <c r="E1213" s="608">
        <v>828900</v>
      </c>
      <c r="F1213" s="609" t="s">
        <v>448</v>
      </c>
      <c r="G1213" s="610"/>
      <c r="H1213" s="610"/>
      <c r="I1213" s="611" t="s">
        <v>44</v>
      </c>
      <c r="J1213" s="616">
        <v>50</v>
      </c>
      <c r="K1213" s="613">
        <v>38</v>
      </c>
      <c r="L1213" s="616">
        <v>38</v>
      </c>
      <c r="M1213" s="616">
        <v>58</v>
      </c>
      <c r="N1213" s="614">
        <v>58</v>
      </c>
      <c r="O1213" s="648"/>
      <c r="P1213" s="648"/>
      <c r="R1213" s="626"/>
      <c r="T1213" s="633"/>
      <c r="U1213" s="634"/>
    </row>
    <row r="1214" spans="2:26" ht="19.149999999999999" customHeight="1">
      <c r="B1214" s="606" t="s">
        <v>789</v>
      </c>
      <c r="C1214" s="654">
        <v>82</v>
      </c>
      <c r="D1214" s="607">
        <v>782</v>
      </c>
      <c r="E1214" s="608">
        <v>828900</v>
      </c>
      <c r="F1214" s="609" t="s">
        <v>1942</v>
      </c>
      <c r="G1214" s="610"/>
      <c r="H1214" s="610"/>
      <c r="I1214" s="611" t="s">
        <v>44</v>
      </c>
      <c r="J1214" s="616">
        <v>25</v>
      </c>
      <c r="K1214" s="613">
        <v>25</v>
      </c>
      <c r="L1214" s="616">
        <v>25</v>
      </c>
      <c r="M1214" s="616">
        <v>25</v>
      </c>
      <c r="N1214" s="614">
        <v>0</v>
      </c>
      <c r="O1214" s="648"/>
      <c r="P1214" s="648"/>
      <c r="R1214" s="626"/>
      <c r="T1214" s="633"/>
      <c r="U1214" s="634"/>
    </row>
    <row r="1215" spans="2:26" ht="19.149999999999999" customHeight="1">
      <c r="B1215" s="606" t="s">
        <v>789</v>
      </c>
      <c r="C1215" s="655">
        <v>7</v>
      </c>
      <c r="D1215" s="615">
        <v>820</v>
      </c>
      <c r="E1215" s="608">
        <v>828900</v>
      </c>
      <c r="F1215" s="703" t="s">
        <v>37</v>
      </c>
      <c r="G1215" s="610"/>
      <c r="H1215" s="610"/>
      <c r="I1215" s="611" t="s">
        <v>175</v>
      </c>
      <c r="J1215" s="616">
        <v>1800</v>
      </c>
      <c r="K1215" s="613">
        <v>1800</v>
      </c>
      <c r="L1215" s="616">
        <v>1800</v>
      </c>
      <c r="M1215" s="616">
        <v>1800</v>
      </c>
      <c r="N1215" s="614">
        <v>1599.999</v>
      </c>
      <c r="O1215" s="648"/>
      <c r="P1215" s="648"/>
      <c r="R1215" s="626"/>
      <c r="T1215" s="633"/>
      <c r="U1215" s="634"/>
      <c r="Z1215" s="216"/>
    </row>
    <row r="1216" spans="2:26" ht="19.149999999999999" customHeight="1">
      <c r="B1216" s="747"/>
      <c r="C1216" s="656"/>
      <c r="D1216" s="618"/>
      <c r="E1216" s="619" t="s">
        <v>447</v>
      </c>
      <c r="F1216" s="620" t="s">
        <v>449</v>
      </c>
      <c r="G1216" s="621">
        <f>SUM(G1211:G1215)</f>
        <v>4</v>
      </c>
      <c r="H1216" s="621">
        <f>SUM(H1211:H1215)</f>
        <v>4</v>
      </c>
      <c r="I1216" s="622"/>
      <c r="J1216" s="623">
        <f>SUM(J1211:J1215)</f>
        <v>2872</v>
      </c>
      <c r="K1216" s="624">
        <f>SUM(K1211:K1215)</f>
        <v>2777</v>
      </c>
      <c r="L1216" s="623">
        <f>SUM(L1211:L1215)</f>
        <v>2777</v>
      </c>
      <c r="M1216" s="623">
        <f>SUM(M1211:M1215)</f>
        <v>2874</v>
      </c>
      <c r="N1216" s="625">
        <f>SUM(N1211:N1215)</f>
        <v>2600.6412300000002</v>
      </c>
      <c r="O1216" s="648"/>
      <c r="P1216" s="648"/>
      <c r="R1216" s="626"/>
      <c r="T1216" s="633"/>
      <c r="U1216" s="632"/>
    </row>
    <row r="1217" spans="2:26" ht="14">
      <c r="B1217" s="747"/>
      <c r="C1217" s="656"/>
      <c r="D1217" s="618"/>
      <c r="E1217" s="619" t="s">
        <v>450</v>
      </c>
      <c r="F1217" s="620" t="s">
        <v>451</v>
      </c>
      <c r="G1217" s="621">
        <f>SUMIF($E$1191:$E$1216,"*.",G1191:G1216)</f>
        <v>10.199999999999999</v>
      </c>
      <c r="H1217" s="621">
        <f>SUMIF($E$1191:$E$1216,"*.",H1191:H1216)</f>
        <v>8.7166833333333322</v>
      </c>
      <c r="I1217" s="622"/>
      <c r="J1217" s="623">
        <f>SUMIF($E$1191:$E$1216,"*.",J1191:J1216)</f>
        <v>7275</v>
      </c>
      <c r="K1217" s="624">
        <f>SUMIF($E$1191:$E$1216,"*.",K1191:K1216)</f>
        <v>6792</v>
      </c>
      <c r="L1217" s="623">
        <f>SUMIF($E$1191:$E$1216,"*.",L1191:L1216)</f>
        <v>7987</v>
      </c>
      <c r="M1217" s="623">
        <f>SUMIF($E$1191:$E$1216,"*.",M1191:M1216)</f>
        <v>8079</v>
      </c>
      <c r="N1217" s="625">
        <f>SUMIF($E$1191:$E$1216,"*.",N1191:N1216)</f>
        <v>6662.6230600000008</v>
      </c>
      <c r="O1217" s="648"/>
      <c r="P1217" s="648"/>
      <c r="R1217" s="626"/>
      <c r="T1217" s="633"/>
      <c r="U1217" s="632"/>
    </row>
    <row r="1218" spans="2:26" ht="14">
      <c r="B1218" s="704"/>
      <c r="C1218" s="684"/>
      <c r="D1218" s="705"/>
      <c r="E1218" s="695" t="s">
        <v>1132</v>
      </c>
      <c r="F1218" s="687" t="s">
        <v>1133</v>
      </c>
      <c r="G1218" s="706"/>
      <c r="H1218" s="706"/>
      <c r="I1218" s="707"/>
      <c r="J1218" s="690"/>
      <c r="K1218" s="693"/>
      <c r="L1218" s="690"/>
      <c r="M1218" s="690"/>
      <c r="N1218" s="708"/>
      <c r="O1218" s="648"/>
      <c r="P1218" s="648"/>
      <c r="R1218" s="626"/>
      <c r="T1218" s="633"/>
      <c r="U1218" s="632"/>
    </row>
    <row r="1219" spans="2:26" ht="15.75" customHeight="1">
      <c r="B1219" s="606" t="s">
        <v>1133</v>
      </c>
      <c r="C1219" s="655">
        <v>82</v>
      </c>
      <c r="D1219" s="615">
        <v>100</v>
      </c>
      <c r="E1219" s="608">
        <v>829100</v>
      </c>
      <c r="F1219" s="609" t="s">
        <v>1247</v>
      </c>
      <c r="G1219" s="610">
        <v>4.5999999999999996</v>
      </c>
      <c r="H1219" s="610">
        <v>4.5999999999999996</v>
      </c>
      <c r="I1219" s="611" t="s">
        <v>669</v>
      </c>
      <c r="J1219" s="616">
        <v>1335</v>
      </c>
      <c r="K1219" s="613">
        <v>1283</v>
      </c>
      <c r="L1219" s="616">
        <v>1350</v>
      </c>
      <c r="M1219" s="616">
        <v>1377</v>
      </c>
      <c r="N1219" s="614">
        <v>1254.38797</v>
      </c>
      <c r="O1219" s="648"/>
      <c r="P1219" s="648"/>
      <c r="R1219" s="626"/>
      <c r="T1219" s="633"/>
      <c r="U1219" s="634"/>
    </row>
    <row r="1220" spans="2:26" ht="28">
      <c r="B1220" s="606" t="s">
        <v>1133</v>
      </c>
      <c r="C1220" s="654">
        <v>82</v>
      </c>
      <c r="D1220" s="607">
        <v>101</v>
      </c>
      <c r="E1220" s="608">
        <v>829100</v>
      </c>
      <c r="F1220" s="609" t="s">
        <v>1943</v>
      </c>
      <c r="G1220" s="610"/>
      <c r="H1220" s="610"/>
      <c r="I1220" s="611" t="s">
        <v>669</v>
      </c>
      <c r="J1220" s="616">
        <v>30</v>
      </c>
      <c r="K1220" s="613">
        <v>0</v>
      </c>
      <c r="L1220" s="616">
        <v>60</v>
      </c>
      <c r="M1220" s="616">
        <v>60</v>
      </c>
      <c r="N1220" s="614">
        <v>0</v>
      </c>
      <c r="O1220" s="648"/>
      <c r="P1220" s="648"/>
      <c r="R1220" s="626"/>
      <c r="T1220" s="633"/>
      <c r="U1220" s="634"/>
    </row>
    <row r="1221" spans="2:26" ht="28">
      <c r="B1221" s="606" t="s">
        <v>1133</v>
      </c>
      <c r="C1221" s="654">
        <v>82</v>
      </c>
      <c r="D1221" s="607">
        <v>420</v>
      </c>
      <c r="E1221" s="608">
        <v>829100</v>
      </c>
      <c r="F1221" s="609" t="s">
        <v>97</v>
      </c>
      <c r="G1221" s="610"/>
      <c r="H1221" s="610"/>
      <c r="I1221" s="611" t="s">
        <v>44</v>
      </c>
      <c r="J1221" s="616">
        <v>833</v>
      </c>
      <c r="K1221" s="613">
        <v>833</v>
      </c>
      <c r="L1221" s="616">
        <v>833</v>
      </c>
      <c r="M1221" s="616">
        <v>833</v>
      </c>
      <c r="N1221" s="614">
        <v>817.27274999999997</v>
      </c>
      <c r="O1221" s="648"/>
      <c r="P1221" s="648"/>
      <c r="R1221" s="626"/>
      <c r="T1221" s="633"/>
      <c r="U1221" s="634"/>
    </row>
    <row r="1222" spans="2:26" ht="28">
      <c r="B1222" s="606" t="s">
        <v>1133</v>
      </c>
      <c r="C1222" s="654">
        <v>82</v>
      </c>
      <c r="D1222" s="607">
        <v>421</v>
      </c>
      <c r="E1222" s="608">
        <v>829100</v>
      </c>
      <c r="F1222" s="609" t="s">
        <v>1264</v>
      </c>
      <c r="G1222" s="610"/>
      <c r="H1222" s="610"/>
      <c r="I1222" s="611" t="s">
        <v>44</v>
      </c>
      <c r="J1222" s="616">
        <v>73</v>
      </c>
      <c r="K1222" s="613">
        <v>73</v>
      </c>
      <c r="L1222" s="616">
        <v>70</v>
      </c>
      <c r="M1222" s="616">
        <v>70</v>
      </c>
      <c r="N1222" s="614">
        <v>148.94788</v>
      </c>
      <c r="O1222" s="648"/>
      <c r="P1222" s="648"/>
      <c r="R1222" s="626"/>
      <c r="T1222" s="633"/>
      <c r="U1222" s="634"/>
    </row>
    <row r="1223" spans="2:26" ht="17.25" customHeight="1">
      <c r="B1223" s="606" t="s">
        <v>1133</v>
      </c>
      <c r="C1223" s="654">
        <v>12</v>
      </c>
      <c r="D1223" s="607">
        <v>550</v>
      </c>
      <c r="E1223" s="608">
        <v>829100</v>
      </c>
      <c r="F1223" s="609" t="s">
        <v>607</v>
      </c>
      <c r="G1223" s="610"/>
      <c r="H1223" s="610"/>
      <c r="I1223" s="611" t="s">
        <v>44</v>
      </c>
      <c r="J1223" s="616">
        <f>107-21</f>
        <v>86</v>
      </c>
      <c r="K1223" s="613">
        <v>80</v>
      </c>
      <c r="L1223" s="616">
        <v>107</v>
      </c>
      <c r="M1223" s="616">
        <v>107</v>
      </c>
      <c r="N1223" s="614">
        <v>106.84960000000001</v>
      </c>
      <c r="O1223" s="648"/>
      <c r="P1223" s="648"/>
      <c r="R1223" s="626"/>
      <c r="T1223" s="633"/>
      <c r="U1223" s="634"/>
    </row>
    <row r="1224" spans="2:26" ht="17.25" customHeight="1">
      <c r="B1224" s="606" t="s">
        <v>1133</v>
      </c>
      <c r="C1224" s="654">
        <v>82</v>
      </c>
      <c r="D1224" s="607">
        <v>780</v>
      </c>
      <c r="E1224" s="608">
        <v>829100</v>
      </c>
      <c r="F1224" s="609" t="s">
        <v>1858</v>
      </c>
      <c r="G1224" s="610"/>
      <c r="H1224" s="610"/>
      <c r="I1224" s="611" t="s">
        <v>44</v>
      </c>
      <c r="J1224" s="616">
        <v>74</v>
      </c>
      <c r="K1224" s="613">
        <v>74</v>
      </c>
      <c r="L1224" s="616">
        <v>74</v>
      </c>
      <c r="M1224" s="616">
        <v>74</v>
      </c>
      <c r="N1224" s="614">
        <v>74.269970000000001</v>
      </c>
      <c r="O1224" s="648"/>
      <c r="P1224" s="648"/>
      <c r="R1224" s="626"/>
      <c r="T1224" s="633"/>
      <c r="U1224" s="634"/>
    </row>
    <row r="1225" spans="2:26" ht="17.25" customHeight="1">
      <c r="B1225" s="606" t="s">
        <v>1133</v>
      </c>
      <c r="C1225" s="655">
        <v>82</v>
      </c>
      <c r="D1225" s="615">
        <v>781</v>
      </c>
      <c r="E1225" s="608">
        <v>829100</v>
      </c>
      <c r="F1225" s="609" t="s">
        <v>1226</v>
      </c>
      <c r="G1225" s="610"/>
      <c r="H1225" s="610"/>
      <c r="I1225" s="611" t="s">
        <v>44</v>
      </c>
      <c r="J1225" s="616">
        <f>725-145</f>
        <v>580</v>
      </c>
      <c r="K1225" s="613">
        <v>381</v>
      </c>
      <c r="L1225" s="616">
        <v>632</v>
      </c>
      <c r="M1225" s="616">
        <v>855</v>
      </c>
      <c r="N1225" s="614">
        <v>820.50059999999996</v>
      </c>
      <c r="O1225" s="648"/>
      <c r="P1225" s="648"/>
      <c r="R1225" s="626"/>
      <c r="T1225" s="633"/>
      <c r="U1225" s="634"/>
    </row>
    <row r="1226" spans="2:26" ht="28">
      <c r="B1226" s="606" t="s">
        <v>1133</v>
      </c>
      <c r="C1226" s="655">
        <v>82</v>
      </c>
      <c r="D1226" s="615">
        <v>782</v>
      </c>
      <c r="E1226" s="608">
        <v>829100</v>
      </c>
      <c r="F1226" s="609" t="s">
        <v>1692</v>
      </c>
      <c r="G1226" s="610"/>
      <c r="H1226" s="610"/>
      <c r="I1226" s="611" t="s">
        <v>44</v>
      </c>
      <c r="J1226" s="616">
        <f>638-128</f>
        <v>510</v>
      </c>
      <c r="K1226" s="613">
        <v>157</v>
      </c>
      <c r="L1226" s="616">
        <v>507</v>
      </c>
      <c r="M1226" s="616">
        <v>656</v>
      </c>
      <c r="N1226" s="614">
        <v>630.55914000000007</v>
      </c>
      <c r="O1226" s="648"/>
      <c r="P1226" s="648"/>
      <c r="R1226" s="626"/>
      <c r="T1226" s="633"/>
      <c r="U1226" s="634"/>
    </row>
    <row r="1227" spans="2:26" ht="17.25" customHeight="1">
      <c r="B1227" s="606" t="s">
        <v>1133</v>
      </c>
      <c r="C1227" s="654">
        <v>82</v>
      </c>
      <c r="D1227" s="607">
        <v>783</v>
      </c>
      <c r="E1227" s="608">
        <v>829100</v>
      </c>
      <c r="F1227" s="609" t="s">
        <v>1115</v>
      </c>
      <c r="G1227" s="610"/>
      <c r="H1227" s="610"/>
      <c r="I1227" s="611" t="s">
        <v>44</v>
      </c>
      <c r="J1227" s="616">
        <f>280-56</f>
        <v>224</v>
      </c>
      <c r="K1227" s="613">
        <v>0</v>
      </c>
      <c r="L1227" s="616">
        <v>321</v>
      </c>
      <c r="M1227" s="616">
        <v>321</v>
      </c>
      <c r="N1227" s="614">
        <v>320.83876000000004</v>
      </c>
      <c r="O1227" s="648"/>
      <c r="P1227" s="648"/>
      <c r="R1227" s="626"/>
      <c r="T1227" s="633"/>
      <c r="U1227" s="634"/>
    </row>
    <row r="1228" spans="2:26" ht="17.25" customHeight="1">
      <c r="B1228" s="606" t="s">
        <v>1133</v>
      </c>
      <c r="C1228" s="655">
        <v>82</v>
      </c>
      <c r="D1228" s="615">
        <v>784</v>
      </c>
      <c r="E1228" s="608">
        <v>829100</v>
      </c>
      <c r="F1228" s="609" t="s">
        <v>1309</v>
      </c>
      <c r="G1228" s="610"/>
      <c r="H1228" s="610"/>
      <c r="I1228" s="611" t="s">
        <v>44</v>
      </c>
      <c r="J1228" s="616">
        <v>80</v>
      </c>
      <c r="K1228" s="613">
        <v>99</v>
      </c>
      <c r="L1228" s="616">
        <v>99</v>
      </c>
      <c r="M1228" s="616">
        <v>111</v>
      </c>
      <c r="N1228" s="614">
        <v>110.07011999999999</v>
      </c>
      <c r="O1228" s="648"/>
      <c r="P1228" s="648"/>
      <c r="R1228" s="626"/>
      <c r="T1228" s="633"/>
      <c r="U1228" s="634"/>
    </row>
    <row r="1229" spans="2:26" ht="17.25" customHeight="1">
      <c r="B1229" s="606" t="s">
        <v>1133</v>
      </c>
      <c r="C1229" s="654">
        <v>82</v>
      </c>
      <c r="D1229" s="607">
        <v>785</v>
      </c>
      <c r="E1229" s="608">
        <v>829100</v>
      </c>
      <c r="F1229" s="703" t="s">
        <v>53</v>
      </c>
      <c r="G1229" s="610"/>
      <c r="H1229" s="610"/>
      <c r="I1229" s="611" t="s">
        <v>44</v>
      </c>
      <c r="J1229" s="616">
        <v>70</v>
      </c>
      <c r="K1229" s="613">
        <v>76</v>
      </c>
      <c r="L1229" s="616">
        <v>76</v>
      </c>
      <c r="M1229" s="616">
        <v>76</v>
      </c>
      <c r="N1229" s="614">
        <v>96.5</v>
      </c>
      <c r="O1229" s="648"/>
      <c r="P1229" s="648"/>
      <c r="R1229" s="626"/>
      <c r="T1229" s="633"/>
      <c r="U1229" s="634"/>
    </row>
    <row r="1230" spans="2:26" ht="17.25" customHeight="1">
      <c r="B1230" s="606" t="s">
        <v>1133</v>
      </c>
      <c r="C1230" s="655">
        <v>82</v>
      </c>
      <c r="D1230" s="615">
        <v>787</v>
      </c>
      <c r="E1230" s="608">
        <v>829100</v>
      </c>
      <c r="F1230" s="609" t="s">
        <v>1823</v>
      </c>
      <c r="G1230" s="610"/>
      <c r="H1230" s="610"/>
      <c r="I1230" s="611" t="s">
        <v>44</v>
      </c>
      <c r="J1230" s="616">
        <v>290</v>
      </c>
      <c r="K1230" s="613">
        <v>254</v>
      </c>
      <c r="L1230" s="616">
        <v>254</v>
      </c>
      <c r="M1230" s="616">
        <v>200</v>
      </c>
      <c r="N1230" s="614">
        <v>162.03</v>
      </c>
      <c r="O1230" s="648"/>
      <c r="P1230" s="648"/>
      <c r="R1230" s="626"/>
      <c r="T1230" s="633"/>
      <c r="U1230" s="634"/>
    </row>
    <row r="1231" spans="2:26" ht="17.25" customHeight="1">
      <c r="B1231" s="606" t="s">
        <v>1133</v>
      </c>
      <c r="C1231" s="655">
        <v>7</v>
      </c>
      <c r="D1231" s="615">
        <v>820</v>
      </c>
      <c r="E1231" s="608">
        <v>829100</v>
      </c>
      <c r="F1231" s="609" t="s">
        <v>2107</v>
      </c>
      <c r="G1231" s="610"/>
      <c r="H1231" s="610"/>
      <c r="I1231" s="611" t="s">
        <v>175</v>
      </c>
      <c r="J1231" s="616">
        <v>187</v>
      </c>
      <c r="K1231" s="613">
        <v>187</v>
      </c>
      <c r="L1231" s="616">
        <v>187</v>
      </c>
      <c r="M1231" s="616">
        <v>220</v>
      </c>
      <c r="N1231" s="614">
        <v>120</v>
      </c>
      <c r="O1231" s="648"/>
      <c r="P1231" s="648"/>
      <c r="R1231" s="626"/>
      <c r="T1231" s="633"/>
      <c r="U1231" s="634"/>
      <c r="Z1231" s="216"/>
    </row>
    <row r="1232" spans="2:26" ht="17.25" customHeight="1">
      <c r="B1232" s="606" t="s">
        <v>1133</v>
      </c>
      <c r="C1232" s="655">
        <v>82</v>
      </c>
      <c r="D1232" s="615">
        <v>981</v>
      </c>
      <c r="E1232" s="608">
        <v>829100</v>
      </c>
      <c r="F1232" s="703" t="s">
        <v>1394</v>
      </c>
      <c r="G1232" s="610"/>
      <c r="H1232" s="610"/>
      <c r="I1232" s="611" t="s">
        <v>175</v>
      </c>
      <c r="J1232" s="616">
        <v>200</v>
      </c>
      <c r="K1232" s="613">
        <v>0</v>
      </c>
      <c r="L1232" s="616">
        <v>0</v>
      </c>
      <c r="M1232" s="616">
        <v>200</v>
      </c>
      <c r="N1232" s="614">
        <v>199.9992</v>
      </c>
      <c r="O1232" s="648"/>
      <c r="P1232" s="648"/>
      <c r="R1232" s="626"/>
      <c r="T1232" s="633"/>
      <c r="U1232" s="634"/>
    </row>
    <row r="1233" spans="2:21" ht="17.25" customHeight="1">
      <c r="B1233" s="606" t="s">
        <v>1133</v>
      </c>
      <c r="C1233" s="654">
        <v>82</v>
      </c>
      <c r="D1233" s="607">
        <v>982</v>
      </c>
      <c r="E1233" s="608">
        <v>829100</v>
      </c>
      <c r="F1233" s="703" t="s">
        <v>2181</v>
      </c>
      <c r="G1233" s="610"/>
      <c r="H1233" s="610"/>
      <c r="I1233" s="611" t="s">
        <v>44</v>
      </c>
      <c r="J1233" s="616">
        <v>0</v>
      </c>
      <c r="K1233" s="613">
        <v>0</v>
      </c>
      <c r="L1233" s="616">
        <v>0</v>
      </c>
      <c r="M1233" s="616">
        <v>0</v>
      </c>
      <c r="N1233" s="614">
        <v>693.72213999999997</v>
      </c>
      <c r="O1233" s="648"/>
      <c r="P1233" s="648"/>
      <c r="R1233" s="626"/>
      <c r="T1233" s="633"/>
      <c r="U1233" s="634"/>
    </row>
    <row r="1234" spans="2:21" ht="17.25" customHeight="1">
      <c r="B1234" s="747"/>
      <c r="C1234" s="656"/>
      <c r="D1234" s="618"/>
      <c r="E1234" s="619" t="s">
        <v>1132</v>
      </c>
      <c r="F1234" s="620" t="s">
        <v>273</v>
      </c>
      <c r="G1234" s="621">
        <f>SUM(G1219:G1233)</f>
        <v>4.5999999999999996</v>
      </c>
      <c r="H1234" s="621">
        <f>SUM(H1219:H1233)</f>
        <v>4.5999999999999996</v>
      </c>
      <c r="I1234" s="622"/>
      <c r="J1234" s="623">
        <f>SUM(J1219:J1233)</f>
        <v>4572</v>
      </c>
      <c r="K1234" s="624">
        <f>SUM(K1219:K1233)</f>
        <v>3497</v>
      </c>
      <c r="L1234" s="623">
        <f>SUM(L1219:L1233)</f>
        <v>4570</v>
      </c>
      <c r="M1234" s="623">
        <f>SUM(M1219:M1233)</f>
        <v>5160</v>
      </c>
      <c r="N1234" s="625">
        <f>SUM(N1219:N1233)</f>
        <v>5555.9481299999998</v>
      </c>
      <c r="O1234" s="648"/>
      <c r="P1234" s="648"/>
      <c r="R1234" s="626"/>
      <c r="T1234" s="633"/>
      <c r="U1234" s="632"/>
    </row>
    <row r="1235" spans="2:21" ht="19.149999999999999" customHeight="1">
      <c r="B1235" s="704"/>
      <c r="C1235" s="684"/>
      <c r="D1235" s="705"/>
      <c r="E1235" s="695" t="s">
        <v>274</v>
      </c>
      <c r="F1235" s="753" t="s">
        <v>1043</v>
      </c>
      <c r="G1235" s="706"/>
      <c r="H1235" s="706"/>
      <c r="I1235" s="707"/>
      <c r="J1235" s="690"/>
      <c r="K1235" s="693"/>
      <c r="L1235" s="690"/>
      <c r="M1235" s="690"/>
      <c r="N1235" s="708"/>
      <c r="O1235" s="648"/>
      <c r="P1235" s="648"/>
      <c r="R1235" s="626"/>
      <c r="T1235" s="633"/>
      <c r="U1235" s="632"/>
    </row>
    <row r="1236" spans="2:21" ht="19.149999999999999" customHeight="1">
      <c r="B1236" s="754" t="s">
        <v>275</v>
      </c>
      <c r="C1236" s="655">
        <v>82</v>
      </c>
      <c r="D1236" s="615">
        <v>100</v>
      </c>
      <c r="E1236" s="608">
        <v>829200</v>
      </c>
      <c r="F1236" s="609" t="s">
        <v>1058</v>
      </c>
      <c r="G1236" s="610">
        <v>3</v>
      </c>
      <c r="H1236" s="610">
        <v>3</v>
      </c>
      <c r="I1236" s="611" t="s">
        <v>669</v>
      </c>
      <c r="J1236" s="616">
        <v>581</v>
      </c>
      <c r="K1236" s="613">
        <v>555</v>
      </c>
      <c r="L1236" s="616">
        <v>615</v>
      </c>
      <c r="M1236" s="616">
        <v>627</v>
      </c>
      <c r="N1236" s="614">
        <v>594.77893000000006</v>
      </c>
      <c r="O1236" s="648"/>
      <c r="P1236" s="648"/>
      <c r="R1236" s="626"/>
      <c r="T1236" s="633"/>
      <c r="U1236" s="634"/>
    </row>
    <row r="1237" spans="2:21" ht="19.149999999999999" customHeight="1">
      <c r="B1237" s="754" t="s">
        <v>275</v>
      </c>
      <c r="C1237" s="654">
        <v>82</v>
      </c>
      <c r="D1237" s="607">
        <v>420</v>
      </c>
      <c r="E1237" s="608">
        <v>829200</v>
      </c>
      <c r="F1237" s="609" t="s">
        <v>1775</v>
      </c>
      <c r="G1237" s="610"/>
      <c r="H1237" s="610"/>
      <c r="I1237" s="611" t="s">
        <v>44</v>
      </c>
      <c r="J1237" s="616">
        <v>177</v>
      </c>
      <c r="K1237" s="613">
        <v>177</v>
      </c>
      <c r="L1237" s="616">
        <v>177</v>
      </c>
      <c r="M1237" s="616">
        <v>177</v>
      </c>
      <c r="N1237" s="614">
        <v>178.0985</v>
      </c>
      <c r="O1237" s="648"/>
      <c r="P1237" s="648"/>
      <c r="R1237" s="626"/>
      <c r="T1237" s="633"/>
      <c r="U1237" s="634"/>
    </row>
    <row r="1238" spans="2:21" ht="19.149999999999999" customHeight="1">
      <c r="B1238" s="754" t="s">
        <v>275</v>
      </c>
      <c r="C1238" s="654">
        <v>82</v>
      </c>
      <c r="D1238" s="607">
        <v>430</v>
      </c>
      <c r="E1238" s="608">
        <v>829200</v>
      </c>
      <c r="F1238" s="609" t="s">
        <v>192</v>
      </c>
      <c r="G1238" s="610"/>
      <c r="H1238" s="610"/>
      <c r="I1238" s="611" t="s">
        <v>175</v>
      </c>
      <c r="J1238" s="616">
        <v>330</v>
      </c>
      <c r="K1238" s="613">
        <v>271</v>
      </c>
      <c r="L1238" s="616">
        <v>390</v>
      </c>
      <c r="M1238" s="616">
        <v>390</v>
      </c>
      <c r="N1238" s="614">
        <v>267.44099999999997</v>
      </c>
      <c r="O1238" s="648"/>
      <c r="P1238" s="648"/>
      <c r="R1238" s="626"/>
      <c r="T1238" s="633"/>
      <c r="U1238" s="634"/>
    </row>
    <row r="1239" spans="2:21" ht="19.149999999999999" customHeight="1">
      <c r="B1239" s="754" t="s">
        <v>275</v>
      </c>
      <c r="C1239" s="654">
        <v>82</v>
      </c>
      <c r="D1239" s="607">
        <v>432</v>
      </c>
      <c r="E1239" s="608">
        <v>829200</v>
      </c>
      <c r="F1239" s="609" t="s">
        <v>103</v>
      </c>
      <c r="G1239" s="610"/>
      <c r="H1239" s="610"/>
      <c r="I1239" s="611" t="s">
        <v>175</v>
      </c>
      <c r="J1239" s="616">
        <v>381</v>
      </c>
      <c r="K1239" s="613">
        <v>381</v>
      </c>
      <c r="L1239" s="616">
        <v>417</v>
      </c>
      <c r="M1239" s="616">
        <v>417</v>
      </c>
      <c r="N1239" s="614">
        <v>367.65820000000002</v>
      </c>
      <c r="O1239" s="648"/>
      <c r="P1239" s="648"/>
      <c r="R1239" s="626"/>
      <c r="T1239" s="633"/>
      <c r="U1239" s="634"/>
    </row>
    <row r="1240" spans="2:21" ht="19.149999999999999" customHeight="1">
      <c r="B1240" s="754" t="s">
        <v>275</v>
      </c>
      <c r="C1240" s="654">
        <v>10</v>
      </c>
      <c r="D1240" s="607">
        <v>540</v>
      </c>
      <c r="E1240" s="608">
        <v>829200</v>
      </c>
      <c r="F1240" s="609" t="s">
        <v>1648</v>
      </c>
      <c r="G1240" s="610"/>
      <c r="H1240" s="610"/>
      <c r="I1240" s="611" t="s">
        <v>175</v>
      </c>
      <c r="J1240" s="616">
        <v>5</v>
      </c>
      <c r="K1240" s="613">
        <v>5</v>
      </c>
      <c r="L1240" s="616">
        <v>7</v>
      </c>
      <c r="M1240" s="616">
        <v>7</v>
      </c>
      <c r="N1240" s="614">
        <v>5.2658300000000002</v>
      </c>
      <c r="O1240" s="648"/>
      <c r="P1240" s="648"/>
      <c r="R1240" s="626"/>
      <c r="T1240" s="633"/>
      <c r="U1240" s="634"/>
    </row>
    <row r="1241" spans="2:21" ht="19.149999999999999" customHeight="1">
      <c r="B1241" s="754" t="s">
        <v>275</v>
      </c>
      <c r="C1241" s="654">
        <v>82</v>
      </c>
      <c r="D1241" s="607">
        <v>720</v>
      </c>
      <c r="E1241" s="608">
        <v>829200</v>
      </c>
      <c r="F1241" s="609" t="s">
        <v>1776</v>
      </c>
      <c r="G1241" s="610"/>
      <c r="H1241" s="610"/>
      <c r="I1241" s="611" t="s">
        <v>44</v>
      </c>
      <c r="J1241" s="616">
        <v>154</v>
      </c>
      <c r="K1241" s="613">
        <v>154</v>
      </c>
      <c r="L1241" s="616">
        <v>154</v>
      </c>
      <c r="M1241" s="616">
        <v>154</v>
      </c>
      <c r="N1241" s="614">
        <v>153.86985000000001</v>
      </c>
      <c r="O1241" s="648"/>
      <c r="P1241" s="648"/>
      <c r="R1241" s="626"/>
      <c r="T1241" s="633"/>
      <c r="U1241" s="634"/>
    </row>
    <row r="1242" spans="2:21" ht="19.149999999999999" customHeight="1">
      <c r="B1242" s="754" t="s">
        <v>275</v>
      </c>
      <c r="C1242" s="655">
        <v>82</v>
      </c>
      <c r="D1242" s="615">
        <v>750</v>
      </c>
      <c r="E1242" s="608">
        <v>829200</v>
      </c>
      <c r="F1242" s="609" t="s">
        <v>1777</v>
      </c>
      <c r="G1242" s="610"/>
      <c r="H1242" s="610"/>
      <c r="I1242" s="611" t="s">
        <v>175</v>
      </c>
      <c r="J1242" s="616">
        <v>607</v>
      </c>
      <c r="K1242" s="613">
        <v>567</v>
      </c>
      <c r="L1242" s="616">
        <v>567</v>
      </c>
      <c r="M1242" s="616">
        <v>595</v>
      </c>
      <c r="N1242" s="614">
        <v>595.98910000000001</v>
      </c>
      <c r="O1242" s="648"/>
      <c r="P1242" s="648"/>
      <c r="R1242" s="626"/>
      <c r="T1242" s="633"/>
      <c r="U1242" s="634"/>
    </row>
    <row r="1243" spans="2:21" ht="19.149999999999999" customHeight="1">
      <c r="B1243" s="754" t="s">
        <v>275</v>
      </c>
      <c r="C1243" s="654">
        <v>5</v>
      </c>
      <c r="D1243" s="607">
        <v>751</v>
      </c>
      <c r="E1243" s="608">
        <v>829200</v>
      </c>
      <c r="F1243" s="609" t="s">
        <v>600</v>
      </c>
      <c r="G1243" s="610"/>
      <c r="H1243" s="610"/>
      <c r="I1243" s="611" t="s">
        <v>175</v>
      </c>
      <c r="J1243" s="616">
        <v>14</v>
      </c>
      <c r="K1243" s="613">
        <v>14</v>
      </c>
      <c r="L1243" s="616">
        <v>14</v>
      </c>
      <c r="M1243" s="616">
        <v>14</v>
      </c>
      <c r="N1243" s="614">
        <v>13.9511</v>
      </c>
      <c r="O1243" s="648"/>
      <c r="P1243" s="648"/>
      <c r="R1243" s="626"/>
      <c r="T1243" s="633"/>
      <c r="U1243" s="634"/>
    </row>
    <row r="1244" spans="2:21" ht="19.149999999999999" customHeight="1">
      <c r="B1244" s="754" t="s">
        <v>275</v>
      </c>
      <c r="C1244" s="654">
        <v>82</v>
      </c>
      <c r="D1244" s="607">
        <v>780</v>
      </c>
      <c r="E1244" s="608">
        <v>829200</v>
      </c>
      <c r="F1244" s="609" t="s">
        <v>1624</v>
      </c>
      <c r="G1244" s="610"/>
      <c r="H1244" s="610"/>
      <c r="I1244" s="611" t="s">
        <v>44</v>
      </c>
      <c r="J1244" s="616">
        <v>101</v>
      </c>
      <c r="K1244" s="613">
        <v>101</v>
      </c>
      <c r="L1244" s="616">
        <v>101</v>
      </c>
      <c r="M1244" s="616">
        <v>101</v>
      </c>
      <c r="N1244" s="614">
        <v>100.97667999999999</v>
      </c>
      <c r="O1244" s="648"/>
      <c r="P1244" s="648"/>
      <c r="R1244" s="626"/>
      <c r="T1244" s="633"/>
      <c r="U1244" s="634"/>
    </row>
    <row r="1245" spans="2:21" ht="19.149999999999999" customHeight="1">
      <c r="B1245" s="747"/>
      <c r="C1245" s="656"/>
      <c r="D1245" s="618"/>
      <c r="E1245" s="619" t="s">
        <v>274</v>
      </c>
      <c r="F1245" s="620" t="s">
        <v>2284</v>
      </c>
      <c r="G1245" s="621">
        <f>SUM(G1236:G1244)</f>
        <v>3</v>
      </c>
      <c r="H1245" s="621">
        <f>SUM(H1236:H1244)</f>
        <v>3</v>
      </c>
      <c r="I1245" s="622"/>
      <c r="J1245" s="623">
        <f>SUM(J1236:J1244)</f>
        <v>2350</v>
      </c>
      <c r="K1245" s="624">
        <f>SUM(K1236:K1244)</f>
        <v>2225</v>
      </c>
      <c r="L1245" s="623">
        <f>SUM(L1236:L1244)</f>
        <v>2442</v>
      </c>
      <c r="M1245" s="623">
        <f>SUM(M1236:M1244)</f>
        <v>2482</v>
      </c>
      <c r="N1245" s="625">
        <f>SUM(N1236:N1244)</f>
        <v>2278.0291900000002</v>
      </c>
      <c r="O1245" s="648"/>
      <c r="P1245" s="648"/>
      <c r="R1245" s="626"/>
      <c r="T1245" s="633"/>
      <c r="U1245" s="632"/>
    </row>
    <row r="1246" spans="2:21" ht="19.149999999999999" customHeight="1">
      <c r="B1246" s="704"/>
      <c r="C1246" s="684"/>
      <c r="D1246" s="705"/>
      <c r="E1246" s="695" t="s">
        <v>699</v>
      </c>
      <c r="F1246" s="753" t="s">
        <v>700</v>
      </c>
      <c r="G1246" s="706"/>
      <c r="H1246" s="706"/>
      <c r="I1246" s="707"/>
      <c r="J1246" s="690"/>
      <c r="K1246" s="693"/>
      <c r="L1246" s="690"/>
      <c r="M1246" s="690"/>
      <c r="N1246" s="708"/>
      <c r="O1246" s="648"/>
      <c r="P1246" s="648"/>
      <c r="R1246" s="626"/>
      <c r="T1246" s="633"/>
      <c r="U1246" s="632"/>
    </row>
    <row r="1247" spans="2:21" ht="19.149999999999999" customHeight="1">
      <c r="B1247" s="606" t="s">
        <v>700</v>
      </c>
      <c r="C1247" s="655">
        <v>82</v>
      </c>
      <c r="D1247" s="615">
        <v>100</v>
      </c>
      <c r="E1247" s="608">
        <v>829210</v>
      </c>
      <c r="F1247" s="609" t="s">
        <v>701</v>
      </c>
      <c r="G1247" s="610">
        <v>7</v>
      </c>
      <c r="H1247" s="610">
        <v>6.9677499999999997</v>
      </c>
      <c r="I1247" s="611" t="s">
        <v>669</v>
      </c>
      <c r="J1247" s="616">
        <v>1129</v>
      </c>
      <c r="K1247" s="613">
        <v>1084</v>
      </c>
      <c r="L1247" s="616">
        <v>1295</v>
      </c>
      <c r="M1247" s="616">
        <v>1321</v>
      </c>
      <c r="N1247" s="614">
        <v>1141.16229</v>
      </c>
      <c r="O1247" s="648"/>
      <c r="P1247" s="648"/>
      <c r="R1247" s="626"/>
      <c r="T1247" s="633"/>
      <c r="U1247" s="634"/>
    </row>
    <row r="1248" spans="2:21" ht="19.149999999999999" customHeight="1">
      <c r="B1248" s="606" t="s">
        <v>700</v>
      </c>
      <c r="C1248" s="654">
        <v>82</v>
      </c>
      <c r="D1248" s="607">
        <v>430</v>
      </c>
      <c r="E1248" s="608">
        <v>829210</v>
      </c>
      <c r="F1248" s="710" t="s">
        <v>192</v>
      </c>
      <c r="G1248" s="610"/>
      <c r="H1248" s="610"/>
      <c r="I1248" s="611" t="s">
        <v>175</v>
      </c>
      <c r="J1248" s="616">
        <v>541</v>
      </c>
      <c r="K1248" s="613">
        <v>475</v>
      </c>
      <c r="L1248" s="616">
        <v>541</v>
      </c>
      <c r="M1248" s="616">
        <v>541</v>
      </c>
      <c r="N1248" s="614">
        <v>521.25783999999999</v>
      </c>
      <c r="O1248" s="648"/>
      <c r="P1248" s="648"/>
      <c r="R1248" s="626"/>
      <c r="T1248" s="633"/>
      <c r="U1248" s="634"/>
    </row>
    <row r="1249" spans="2:21" ht="19.149999999999999" customHeight="1">
      <c r="B1249" s="606" t="s">
        <v>700</v>
      </c>
      <c r="C1249" s="654">
        <v>82</v>
      </c>
      <c r="D1249" s="607">
        <v>432</v>
      </c>
      <c r="E1249" s="608">
        <v>829210</v>
      </c>
      <c r="F1249" s="609" t="s">
        <v>103</v>
      </c>
      <c r="G1249" s="610"/>
      <c r="H1249" s="610"/>
      <c r="I1249" s="611" t="s">
        <v>175</v>
      </c>
      <c r="J1249" s="616">
        <v>88</v>
      </c>
      <c r="K1249" s="613">
        <v>88</v>
      </c>
      <c r="L1249" s="616">
        <v>88</v>
      </c>
      <c r="M1249" s="616">
        <v>88</v>
      </c>
      <c r="N1249" s="614">
        <v>231.8486</v>
      </c>
      <c r="O1249" s="648"/>
      <c r="P1249" s="648"/>
      <c r="R1249" s="626"/>
      <c r="T1249" s="633"/>
      <c r="U1249" s="634"/>
    </row>
    <row r="1250" spans="2:21" ht="19.149999999999999" customHeight="1">
      <c r="B1250" s="606" t="s">
        <v>700</v>
      </c>
      <c r="C1250" s="654">
        <v>10</v>
      </c>
      <c r="D1250" s="607">
        <v>540</v>
      </c>
      <c r="E1250" s="608">
        <v>829210</v>
      </c>
      <c r="F1250" s="710" t="s">
        <v>1648</v>
      </c>
      <c r="G1250" s="610"/>
      <c r="H1250" s="610"/>
      <c r="I1250" s="611" t="s">
        <v>175</v>
      </c>
      <c r="J1250" s="616">
        <v>12</v>
      </c>
      <c r="K1250" s="613">
        <v>12</v>
      </c>
      <c r="L1250" s="616">
        <v>12</v>
      </c>
      <c r="M1250" s="616">
        <v>12</v>
      </c>
      <c r="N1250" s="614">
        <v>11.49756</v>
      </c>
      <c r="O1250" s="648"/>
      <c r="P1250" s="648"/>
      <c r="R1250" s="626"/>
      <c r="T1250" s="633"/>
      <c r="U1250" s="634"/>
    </row>
    <row r="1251" spans="2:21" ht="19.149999999999999" customHeight="1">
      <c r="B1251" s="606" t="s">
        <v>700</v>
      </c>
      <c r="C1251" s="654">
        <v>5</v>
      </c>
      <c r="D1251" s="607">
        <v>747</v>
      </c>
      <c r="E1251" s="608">
        <v>829210</v>
      </c>
      <c r="F1251" s="710" t="s">
        <v>1603</v>
      </c>
      <c r="G1251" s="610"/>
      <c r="H1251" s="610"/>
      <c r="I1251" s="611" t="s">
        <v>175</v>
      </c>
      <c r="J1251" s="616">
        <v>103</v>
      </c>
      <c r="K1251" s="613">
        <v>103</v>
      </c>
      <c r="L1251" s="616">
        <v>103</v>
      </c>
      <c r="M1251" s="616">
        <v>98</v>
      </c>
      <c r="N1251" s="614">
        <v>96.998850000000004</v>
      </c>
      <c r="O1251" s="648"/>
      <c r="P1251" s="648"/>
      <c r="R1251" s="626"/>
      <c r="T1251" s="633"/>
      <c r="U1251" s="634"/>
    </row>
    <row r="1252" spans="2:21" ht="19.149999999999999" customHeight="1">
      <c r="B1252" s="606" t="s">
        <v>700</v>
      </c>
      <c r="C1252" s="655">
        <v>82</v>
      </c>
      <c r="D1252" s="615">
        <v>750</v>
      </c>
      <c r="E1252" s="608">
        <v>829210</v>
      </c>
      <c r="F1252" s="710" t="s">
        <v>361</v>
      </c>
      <c r="G1252" s="610"/>
      <c r="H1252" s="610"/>
      <c r="I1252" s="611" t="s">
        <v>175</v>
      </c>
      <c r="J1252" s="616">
        <v>728</v>
      </c>
      <c r="K1252" s="613">
        <v>669</v>
      </c>
      <c r="L1252" s="616">
        <v>669</v>
      </c>
      <c r="M1252" s="616">
        <v>728</v>
      </c>
      <c r="N1252" s="614">
        <v>720.69605000000001</v>
      </c>
      <c r="O1252" s="648"/>
      <c r="P1252" s="648"/>
      <c r="R1252" s="626"/>
      <c r="T1252" s="633"/>
      <c r="U1252" s="634"/>
    </row>
    <row r="1253" spans="2:21" ht="19.149999999999999" customHeight="1">
      <c r="B1253" s="606" t="s">
        <v>700</v>
      </c>
      <c r="C1253" s="654">
        <v>82</v>
      </c>
      <c r="D1253" s="607">
        <v>780</v>
      </c>
      <c r="E1253" s="608">
        <v>829210</v>
      </c>
      <c r="F1253" s="609" t="s">
        <v>1117</v>
      </c>
      <c r="G1253" s="610"/>
      <c r="H1253" s="610"/>
      <c r="I1253" s="611" t="s">
        <v>44</v>
      </c>
      <c r="J1253" s="616">
        <v>120</v>
      </c>
      <c r="K1253" s="613">
        <v>124</v>
      </c>
      <c r="L1253" s="616">
        <v>124</v>
      </c>
      <c r="M1253" s="616">
        <v>124</v>
      </c>
      <c r="N1253" s="614">
        <v>133.13038</v>
      </c>
      <c r="O1253" s="648"/>
      <c r="P1253" s="648"/>
      <c r="R1253" s="626"/>
      <c r="T1253" s="633"/>
      <c r="U1253" s="634"/>
    </row>
    <row r="1254" spans="2:21" ht="19.149999999999999" customHeight="1">
      <c r="B1254" s="606" t="s">
        <v>700</v>
      </c>
      <c r="C1254" s="654">
        <v>82</v>
      </c>
      <c r="D1254" s="607">
        <v>781</v>
      </c>
      <c r="E1254" s="608">
        <v>829210</v>
      </c>
      <c r="F1254" s="609" t="s">
        <v>1118</v>
      </c>
      <c r="G1254" s="610"/>
      <c r="H1254" s="610"/>
      <c r="I1254" s="611" t="s">
        <v>44</v>
      </c>
      <c r="J1254" s="616">
        <v>45</v>
      </c>
      <c r="K1254" s="613">
        <v>58</v>
      </c>
      <c r="L1254" s="616">
        <v>58</v>
      </c>
      <c r="M1254" s="616">
        <v>58</v>
      </c>
      <c r="N1254" s="614">
        <v>57.77599</v>
      </c>
      <c r="O1254" s="648"/>
      <c r="P1254" s="648"/>
      <c r="R1254" s="626"/>
      <c r="T1254" s="633"/>
      <c r="U1254" s="634"/>
    </row>
    <row r="1255" spans="2:21" ht="19.149999999999999" customHeight="1">
      <c r="B1255" s="606" t="s">
        <v>700</v>
      </c>
      <c r="C1255" s="654">
        <v>82</v>
      </c>
      <c r="D1255" s="607">
        <v>782</v>
      </c>
      <c r="E1255" s="608">
        <v>829210</v>
      </c>
      <c r="F1255" s="724" t="s">
        <v>541</v>
      </c>
      <c r="G1255" s="610"/>
      <c r="H1255" s="610"/>
      <c r="I1255" s="611" t="s">
        <v>44</v>
      </c>
      <c r="J1255" s="616">
        <v>81</v>
      </c>
      <c r="K1255" s="613">
        <v>101</v>
      </c>
      <c r="L1255" s="616">
        <v>101</v>
      </c>
      <c r="M1255" s="616">
        <v>101</v>
      </c>
      <c r="N1255" s="614">
        <v>100.88614</v>
      </c>
      <c r="O1255" s="648"/>
      <c r="P1255" s="648"/>
      <c r="R1255" s="626"/>
      <c r="T1255" s="633"/>
      <c r="U1255" s="634"/>
    </row>
    <row r="1256" spans="2:21" ht="30" customHeight="1">
      <c r="B1256" s="747"/>
      <c r="C1256" s="656"/>
      <c r="D1256" s="618"/>
      <c r="E1256" s="619" t="s">
        <v>699</v>
      </c>
      <c r="F1256" s="755" t="s">
        <v>2285</v>
      </c>
      <c r="G1256" s="621">
        <f>SUM(G1247:G1255)</f>
        <v>7</v>
      </c>
      <c r="H1256" s="621">
        <f>SUM(H1247:H1255)</f>
        <v>6.9677499999999997</v>
      </c>
      <c r="I1256" s="622"/>
      <c r="J1256" s="623">
        <f>SUM(J1247:J1255)</f>
        <v>2847</v>
      </c>
      <c r="K1256" s="624">
        <f>SUM(K1247:K1255)</f>
        <v>2714</v>
      </c>
      <c r="L1256" s="623">
        <f>SUM(L1247:L1255)</f>
        <v>2991</v>
      </c>
      <c r="M1256" s="623">
        <f>SUM(M1247:M1255)</f>
        <v>3071</v>
      </c>
      <c r="N1256" s="625">
        <f>SUM(N1247:N1255)</f>
        <v>3015.2537000000002</v>
      </c>
      <c r="O1256" s="648"/>
      <c r="P1256" s="648"/>
      <c r="R1256" s="626"/>
      <c r="T1256" s="633"/>
      <c r="U1256" s="632"/>
    </row>
    <row r="1257" spans="2:21" ht="19.149999999999999" customHeight="1">
      <c r="B1257" s="704"/>
      <c r="C1257" s="684"/>
      <c r="D1257" s="705"/>
      <c r="E1257" s="695" t="s">
        <v>1112</v>
      </c>
      <c r="F1257" s="687" t="s">
        <v>790</v>
      </c>
      <c r="G1257" s="706"/>
      <c r="H1257" s="706"/>
      <c r="I1257" s="707"/>
      <c r="J1257" s="690"/>
      <c r="K1257" s="693"/>
      <c r="L1257" s="690"/>
      <c r="M1257" s="690"/>
      <c r="N1257" s="708"/>
      <c r="O1257" s="648"/>
      <c r="P1257" s="648"/>
      <c r="R1257" s="626"/>
      <c r="T1257" s="633"/>
      <c r="U1257" s="632"/>
    </row>
    <row r="1258" spans="2:21" ht="21.5">
      <c r="B1258" s="606" t="s">
        <v>790</v>
      </c>
      <c r="C1258" s="654">
        <v>82</v>
      </c>
      <c r="D1258" s="607">
        <v>100</v>
      </c>
      <c r="E1258" s="608">
        <v>829220</v>
      </c>
      <c r="F1258" s="609" t="s">
        <v>533</v>
      </c>
      <c r="G1258" s="610">
        <v>1</v>
      </c>
      <c r="H1258" s="610">
        <v>1</v>
      </c>
      <c r="I1258" s="611" t="s">
        <v>669</v>
      </c>
      <c r="J1258" s="616">
        <v>160</v>
      </c>
      <c r="K1258" s="613">
        <v>157</v>
      </c>
      <c r="L1258" s="616">
        <v>159</v>
      </c>
      <c r="M1258" s="616">
        <v>159</v>
      </c>
      <c r="N1258" s="614">
        <v>152.27539000000002</v>
      </c>
      <c r="O1258" s="648"/>
      <c r="P1258" s="648"/>
      <c r="R1258" s="626"/>
      <c r="T1258" s="633"/>
      <c r="U1258" s="634"/>
    </row>
    <row r="1259" spans="2:21" ht="19.149999999999999" customHeight="1">
      <c r="B1259" s="606" t="s">
        <v>790</v>
      </c>
      <c r="C1259" s="654">
        <v>10</v>
      </c>
      <c r="D1259" s="607">
        <v>540</v>
      </c>
      <c r="E1259" s="608">
        <v>829220</v>
      </c>
      <c r="F1259" s="710" t="s">
        <v>1648</v>
      </c>
      <c r="G1259" s="610"/>
      <c r="H1259" s="610"/>
      <c r="I1259" s="611" t="s">
        <v>175</v>
      </c>
      <c r="J1259" s="616">
        <v>3</v>
      </c>
      <c r="K1259" s="613">
        <v>2</v>
      </c>
      <c r="L1259" s="616">
        <v>3</v>
      </c>
      <c r="M1259" s="616">
        <v>3</v>
      </c>
      <c r="N1259" s="614">
        <v>2.0442999999999998</v>
      </c>
      <c r="O1259" s="648"/>
      <c r="P1259" s="648"/>
      <c r="R1259" s="626"/>
      <c r="T1259" s="633"/>
      <c r="U1259" s="634"/>
    </row>
    <row r="1260" spans="2:21" ht="19.149999999999999" customHeight="1">
      <c r="B1260" s="606" t="s">
        <v>790</v>
      </c>
      <c r="C1260" s="655">
        <v>82</v>
      </c>
      <c r="D1260" s="615">
        <v>750</v>
      </c>
      <c r="E1260" s="608">
        <v>829220</v>
      </c>
      <c r="F1260" s="710" t="s">
        <v>361</v>
      </c>
      <c r="G1260" s="610"/>
      <c r="H1260" s="610"/>
      <c r="I1260" s="611" t="s">
        <v>175</v>
      </c>
      <c r="J1260" s="616">
        <v>141</v>
      </c>
      <c r="K1260" s="613">
        <v>132</v>
      </c>
      <c r="L1260" s="616">
        <v>132</v>
      </c>
      <c r="M1260" s="616">
        <v>143</v>
      </c>
      <c r="N1260" s="614">
        <v>141.10395</v>
      </c>
      <c r="O1260" s="648"/>
      <c r="P1260" s="648"/>
      <c r="R1260" s="626"/>
      <c r="T1260" s="633"/>
      <c r="U1260" s="634"/>
    </row>
    <row r="1261" spans="2:21" ht="28">
      <c r="B1261" s="606" t="s">
        <v>790</v>
      </c>
      <c r="C1261" s="654">
        <v>82</v>
      </c>
      <c r="D1261" s="607">
        <v>870</v>
      </c>
      <c r="E1261" s="608">
        <v>829220</v>
      </c>
      <c r="F1261" s="710" t="s">
        <v>1991</v>
      </c>
      <c r="G1261" s="610"/>
      <c r="H1261" s="610"/>
      <c r="I1261" s="611" t="s">
        <v>175</v>
      </c>
      <c r="J1261" s="616">
        <v>125</v>
      </c>
      <c r="K1261" s="613">
        <v>125</v>
      </c>
      <c r="L1261" s="616">
        <v>125</v>
      </c>
      <c r="M1261" s="616">
        <v>125</v>
      </c>
      <c r="N1261" s="614">
        <v>125</v>
      </c>
      <c r="O1261" s="648"/>
      <c r="P1261" s="648"/>
      <c r="R1261" s="626"/>
      <c r="T1261" s="633"/>
      <c r="U1261" s="634"/>
    </row>
    <row r="1262" spans="2:21" ht="19.149999999999999" customHeight="1">
      <c r="B1262" s="747"/>
      <c r="C1262" s="656"/>
      <c r="D1262" s="618"/>
      <c r="E1262" s="619" t="s">
        <v>1112</v>
      </c>
      <c r="F1262" s="620" t="s">
        <v>1113</v>
      </c>
      <c r="G1262" s="621">
        <f>SUM(G1258:G1261)</f>
        <v>1</v>
      </c>
      <c r="H1262" s="621">
        <f>SUM(H1258:H1261)</f>
        <v>1</v>
      </c>
      <c r="I1262" s="622"/>
      <c r="J1262" s="623">
        <f>SUM(J1258:J1261)</f>
        <v>429</v>
      </c>
      <c r="K1262" s="624">
        <f>SUM(K1258:K1261)</f>
        <v>416</v>
      </c>
      <c r="L1262" s="623">
        <f>SUM(L1258:L1261)</f>
        <v>419</v>
      </c>
      <c r="M1262" s="623">
        <f>SUM(M1258:M1261)</f>
        <v>430</v>
      </c>
      <c r="N1262" s="625">
        <f>SUM(N1258:N1261)</f>
        <v>420.42363999999998</v>
      </c>
      <c r="O1262" s="648"/>
      <c r="P1262" s="648"/>
      <c r="R1262" s="626"/>
      <c r="T1262" s="633"/>
      <c r="U1262" s="632"/>
    </row>
    <row r="1263" spans="2:21" ht="19.149999999999999" customHeight="1">
      <c r="B1263" s="704"/>
      <c r="C1263" s="684"/>
      <c r="D1263" s="705"/>
      <c r="E1263" s="695" t="s">
        <v>1114</v>
      </c>
      <c r="F1263" s="751" t="s">
        <v>2286</v>
      </c>
      <c r="G1263" s="706"/>
      <c r="H1263" s="706"/>
      <c r="I1263" s="707"/>
      <c r="J1263" s="690"/>
      <c r="K1263" s="693"/>
      <c r="L1263" s="690"/>
      <c r="M1263" s="690"/>
      <c r="N1263" s="708"/>
      <c r="O1263" s="648"/>
      <c r="P1263" s="648"/>
      <c r="R1263" s="626"/>
      <c r="T1263" s="633"/>
      <c r="U1263" s="632"/>
    </row>
    <row r="1264" spans="2:21" ht="19.149999999999999" customHeight="1">
      <c r="B1264" s="754" t="s">
        <v>138</v>
      </c>
      <c r="C1264" s="654">
        <v>82</v>
      </c>
      <c r="D1264" s="607">
        <v>100</v>
      </c>
      <c r="E1264" s="608">
        <v>829230</v>
      </c>
      <c r="F1264" s="609" t="s">
        <v>91</v>
      </c>
      <c r="G1264" s="610">
        <v>0.33000000000000007</v>
      </c>
      <c r="H1264" s="610">
        <v>0.33000000000000007</v>
      </c>
      <c r="I1264" s="611" t="s">
        <v>669</v>
      </c>
      <c r="J1264" s="616">
        <v>58</v>
      </c>
      <c r="K1264" s="613">
        <v>57</v>
      </c>
      <c r="L1264" s="616">
        <v>57</v>
      </c>
      <c r="M1264" s="616">
        <v>57</v>
      </c>
      <c r="N1264" s="614">
        <v>54.167790000000004</v>
      </c>
      <c r="O1264" s="648"/>
      <c r="P1264" s="648"/>
      <c r="R1264" s="626"/>
      <c r="T1264" s="633"/>
      <c r="U1264" s="634"/>
    </row>
    <row r="1265" spans="1:26" ht="19.149999999999999" customHeight="1">
      <c r="B1265" s="754" t="s">
        <v>138</v>
      </c>
      <c r="C1265" s="654">
        <v>82</v>
      </c>
      <c r="D1265" s="607">
        <v>430</v>
      </c>
      <c r="E1265" s="608">
        <v>829230</v>
      </c>
      <c r="F1265" s="609" t="s">
        <v>192</v>
      </c>
      <c r="G1265" s="610"/>
      <c r="H1265" s="610"/>
      <c r="I1265" s="611" t="s">
        <v>175</v>
      </c>
      <c r="J1265" s="616">
        <v>24</v>
      </c>
      <c r="K1265" s="613">
        <v>19</v>
      </c>
      <c r="L1265" s="616">
        <v>24</v>
      </c>
      <c r="M1265" s="616">
        <v>24</v>
      </c>
      <c r="N1265" s="614">
        <v>21.6294</v>
      </c>
      <c r="O1265" s="648"/>
      <c r="P1265" s="648"/>
      <c r="R1265" s="626"/>
      <c r="T1265" s="633"/>
      <c r="U1265" s="634"/>
    </row>
    <row r="1266" spans="1:26" ht="19.149999999999999" customHeight="1">
      <c r="B1266" s="754" t="s">
        <v>138</v>
      </c>
      <c r="C1266" s="654">
        <v>82</v>
      </c>
      <c r="D1266" s="607">
        <v>780</v>
      </c>
      <c r="E1266" s="608">
        <v>829230</v>
      </c>
      <c r="F1266" s="609" t="s">
        <v>975</v>
      </c>
      <c r="G1266" s="610"/>
      <c r="H1266" s="610"/>
      <c r="I1266" s="611" t="s">
        <v>44</v>
      </c>
      <c r="J1266" s="616">
        <v>5</v>
      </c>
      <c r="K1266" s="613">
        <v>5</v>
      </c>
      <c r="L1266" s="616">
        <v>5</v>
      </c>
      <c r="M1266" s="616">
        <v>5</v>
      </c>
      <c r="N1266" s="614">
        <v>4.9999899999999995</v>
      </c>
      <c r="O1266" s="648"/>
      <c r="P1266" s="648"/>
      <c r="R1266" s="626"/>
      <c r="T1266" s="633"/>
      <c r="U1266" s="634"/>
    </row>
    <row r="1267" spans="1:26" ht="28">
      <c r="B1267" s="747"/>
      <c r="C1267" s="656"/>
      <c r="D1267" s="618"/>
      <c r="E1267" s="619" t="s">
        <v>1114</v>
      </c>
      <c r="F1267" s="755" t="s">
        <v>2287</v>
      </c>
      <c r="G1267" s="621">
        <f>SUM(G1264:G1266)</f>
        <v>0.33000000000000007</v>
      </c>
      <c r="H1267" s="621">
        <f>SUM(H1264:H1266)</f>
        <v>0.33000000000000007</v>
      </c>
      <c r="I1267" s="622"/>
      <c r="J1267" s="623">
        <f>SUM(J1264:J1266)</f>
        <v>87</v>
      </c>
      <c r="K1267" s="624">
        <f>SUM(K1264:K1266)</f>
        <v>81</v>
      </c>
      <c r="L1267" s="623">
        <f>SUM(L1264:L1266)</f>
        <v>86</v>
      </c>
      <c r="M1267" s="623">
        <f>SUM(M1264:M1266)</f>
        <v>86</v>
      </c>
      <c r="N1267" s="625">
        <f>SUM(N1264:N1266)</f>
        <v>80.797179999999997</v>
      </c>
      <c r="O1267" s="648"/>
      <c r="P1267" s="648"/>
      <c r="R1267" s="626"/>
      <c r="T1267" s="633"/>
      <c r="U1267" s="632"/>
    </row>
    <row r="1268" spans="1:26" ht="19.149999999999999" customHeight="1">
      <c r="B1268" s="704"/>
      <c r="C1268" s="684"/>
      <c r="D1268" s="705"/>
      <c r="E1268" s="695" t="s">
        <v>435</v>
      </c>
      <c r="F1268" s="687" t="s">
        <v>1224</v>
      </c>
      <c r="G1268" s="706"/>
      <c r="H1268" s="706"/>
      <c r="I1268" s="707"/>
      <c r="J1268" s="690"/>
      <c r="K1268" s="693"/>
      <c r="L1268" s="690"/>
      <c r="M1268" s="690"/>
      <c r="N1268" s="708"/>
      <c r="O1268" s="648"/>
      <c r="P1268" s="648"/>
      <c r="R1268" s="626"/>
      <c r="T1268" s="633"/>
      <c r="U1268" s="632"/>
    </row>
    <row r="1269" spans="1:26" s="594" customFormat="1" ht="19.399999999999999" customHeight="1">
      <c r="A1269" s="827"/>
      <c r="B1269" s="606" t="s">
        <v>2171</v>
      </c>
      <c r="C1269" s="655">
        <v>82</v>
      </c>
      <c r="D1269" s="615">
        <v>100</v>
      </c>
      <c r="E1269" s="608">
        <v>829240</v>
      </c>
      <c r="F1269" s="609" t="s">
        <v>701</v>
      </c>
      <c r="G1269" s="610">
        <v>21</v>
      </c>
      <c r="H1269" s="610">
        <v>19</v>
      </c>
      <c r="I1269" s="611" t="s">
        <v>669</v>
      </c>
      <c r="J1269" s="616">
        <v>3094</v>
      </c>
      <c r="K1269" s="613">
        <v>2957</v>
      </c>
      <c r="L1269" s="616">
        <v>2973</v>
      </c>
      <c r="M1269" s="616">
        <v>3019</v>
      </c>
      <c r="N1269" s="614">
        <v>2868.4411500000001</v>
      </c>
      <c r="O1269" s="648"/>
      <c r="P1269" s="648"/>
      <c r="Q1269" s="649"/>
      <c r="R1269" s="626"/>
      <c r="S1269" s="592"/>
      <c r="T1269" s="633"/>
      <c r="U1269" s="634"/>
      <c r="V1269" s="640"/>
      <c r="W1269" s="640"/>
      <c r="X1269" s="649"/>
      <c r="Y1269" s="640"/>
      <c r="Z1269" s="640"/>
    </row>
    <row r="1270" spans="1:26" ht="19.399999999999999" customHeight="1">
      <c r="B1270" s="606" t="s">
        <v>2171</v>
      </c>
      <c r="C1270" s="654">
        <v>82</v>
      </c>
      <c r="D1270" s="607">
        <v>430</v>
      </c>
      <c r="E1270" s="608">
        <v>829240</v>
      </c>
      <c r="F1270" s="609" t="s">
        <v>192</v>
      </c>
      <c r="G1270" s="610"/>
      <c r="H1270" s="610"/>
      <c r="I1270" s="611" t="s">
        <v>175</v>
      </c>
      <c r="J1270" s="616">
        <v>624</v>
      </c>
      <c r="K1270" s="613">
        <v>566</v>
      </c>
      <c r="L1270" s="616">
        <v>624</v>
      </c>
      <c r="M1270" s="616">
        <v>624</v>
      </c>
      <c r="N1270" s="614">
        <v>605.38629000000003</v>
      </c>
      <c r="O1270" s="648"/>
      <c r="P1270" s="648"/>
      <c r="R1270" s="626"/>
      <c r="T1270" s="633"/>
      <c r="U1270" s="634"/>
    </row>
    <row r="1271" spans="1:26" ht="19.399999999999999" customHeight="1">
      <c r="B1271" s="606" t="s">
        <v>2171</v>
      </c>
      <c r="C1271" s="654">
        <v>82</v>
      </c>
      <c r="D1271" s="607">
        <v>431</v>
      </c>
      <c r="E1271" s="608">
        <v>829240</v>
      </c>
      <c r="F1271" s="609" t="s">
        <v>1744</v>
      </c>
      <c r="G1271" s="610"/>
      <c r="H1271" s="610"/>
      <c r="I1271" s="611" t="s">
        <v>175</v>
      </c>
      <c r="J1271" s="616">
        <v>50</v>
      </c>
      <c r="K1271" s="613">
        <v>50</v>
      </c>
      <c r="L1271" s="616">
        <v>55</v>
      </c>
      <c r="M1271" s="616">
        <v>55</v>
      </c>
      <c r="N1271" s="614">
        <v>39.245110000000004</v>
      </c>
      <c r="O1271" s="648"/>
      <c r="P1271" s="648"/>
      <c r="R1271" s="626"/>
      <c r="T1271" s="633"/>
      <c r="U1271" s="634"/>
    </row>
    <row r="1272" spans="1:26" ht="19.399999999999999" customHeight="1">
      <c r="B1272" s="606" t="s">
        <v>2171</v>
      </c>
      <c r="C1272" s="654">
        <v>82</v>
      </c>
      <c r="D1272" s="607">
        <v>432</v>
      </c>
      <c r="E1272" s="608">
        <v>829240</v>
      </c>
      <c r="F1272" s="609" t="s">
        <v>103</v>
      </c>
      <c r="G1272" s="610"/>
      <c r="H1272" s="610"/>
      <c r="I1272" s="611" t="s">
        <v>175</v>
      </c>
      <c r="J1272" s="616">
        <v>47</v>
      </c>
      <c r="K1272" s="613">
        <v>47</v>
      </c>
      <c r="L1272" s="616">
        <v>47</v>
      </c>
      <c r="M1272" s="616">
        <v>47</v>
      </c>
      <c r="N1272" s="614">
        <v>37.9741</v>
      </c>
      <c r="O1272" s="648"/>
      <c r="P1272" s="648"/>
      <c r="R1272" s="626"/>
      <c r="T1272" s="633"/>
      <c r="U1272" s="634"/>
    </row>
    <row r="1273" spans="1:26" ht="19.399999999999999" customHeight="1">
      <c r="B1273" s="606" t="s">
        <v>1842</v>
      </c>
      <c r="C1273" s="654">
        <v>10</v>
      </c>
      <c r="D1273" s="607">
        <v>540</v>
      </c>
      <c r="E1273" s="608">
        <v>829240</v>
      </c>
      <c r="F1273" s="609" t="s">
        <v>1648</v>
      </c>
      <c r="G1273" s="610"/>
      <c r="H1273" s="610"/>
      <c r="I1273" s="611" t="s">
        <v>175</v>
      </c>
      <c r="J1273" s="616">
        <v>23</v>
      </c>
      <c r="K1273" s="613">
        <v>23</v>
      </c>
      <c r="L1273" s="616">
        <v>23</v>
      </c>
      <c r="M1273" s="616">
        <v>23</v>
      </c>
      <c r="N1273" s="614">
        <v>22.78069</v>
      </c>
      <c r="O1273" s="648"/>
      <c r="P1273" s="648"/>
      <c r="R1273" s="626"/>
      <c r="T1273" s="633"/>
      <c r="U1273" s="634"/>
    </row>
    <row r="1274" spans="1:26" ht="19.399999999999999" customHeight="1">
      <c r="B1274" s="606" t="s">
        <v>1842</v>
      </c>
      <c r="C1274" s="654">
        <v>5</v>
      </c>
      <c r="D1274" s="607">
        <v>747</v>
      </c>
      <c r="E1274" s="608">
        <v>829240</v>
      </c>
      <c r="F1274" s="609" t="s">
        <v>1603</v>
      </c>
      <c r="G1274" s="610"/>
      <c r="H1274" s="610"/>
      <c r="I1274" s="611" t="s">
        <v>175</v>
      </c>
      <c r="J1274" s="616">
        <v>151</v>
      </c>
      <c r="K1274" s="613">
        <v>123</v>
      </c>
      <c r="L1274" s="616">
        <v>123</v>
      </c>
      <c r="M1274" s="616">
        <v>88</v>
      </c>
      <c r="N1274" s="614">
        <v>86.999740000000003</v>
      </c>
      <c r="O1274" s="648"/>
      <c r="P1274" s="648"/>
      <c r="R1274" s="626"/>
      <c r="T1274" s="633"/>
      <c r="U1274" s="634"/>
    </row>
    <row r="1275" spans="1:26" ht="19.399999999999999" customHeight="1">
      <c r="B1275" s="606" t="s">
        <v>2171</v>
      </c>
      <c r="C1275" s="655">
        <v>82</v>
      </c>
      <c r="D1275" s="615">
        <v>750</v>
      </c>
      <c r="E1275" s="608">
        <v>829240</v>
      </c>
      <c r="F1275" s="609" t="s">
        <v>361</v>
      </c>
      <c r="G1275" s="610"/>
      <c r="H1275" s="610"/>
      <c r="I1275" s="611" t="s">
        <v>175</v>
      </c>
      <c r="J1275" s="616">
        <v>1455</v>
      </c>
      <c r="K1275" s="613">
        <v>1322</v>
      </c>
      <c r="L1275" s="616">
        <v>1365</v>
      </c>
      <c r="M1275" s="616">
        <v>1500</v>
      </c>
      <c r="N1275" s="614">
        <v>1407.2843</v>
      </c>
      <c r="O1275" s="648"/>
      <c r="P1275" s="648"/>
      <c r="R1275" s="626"/>
      <c r="T1275" s="633"/>
      <c r="U1275" s="634"/>
    </row>
    <row r="1276" spans="1:26" ht="19.399999999999999" customHeight="1">
      <c r="B1276" s="606" t="s">
        <v>2171</v>
      </c>
      <c r="C1276" s="654">
        <v>82</v>
      </c>
      <c r="D1276" s="607">
        <v>781</v>
      </c>
      <c r="E1276" s="608">
        <v>829240</v>
      </c>
      <c r="F1276" s="609" t="s">
        <v>45</v>
      </c>
      <c r="G1276" s="610"/>
      <c r="H1276" s="610"/>
      <c r="I1276" s="611" t="s">
        <v>44</v>
      </c>
      <c r="J1276" s="616">
        <v>25</v>
      </c>
      <c r="K1276" s="613">
        <v>25</v>
      </c>
      <c r="L1276" s="616">
        <v>25</v>
      </c>
      <c r="M1276" s="616">
        <v>25</v>
      </c>
      <c r="N1276" s="614">
        <v>24.97522</v>
      </c>
      <c r="O1276" s="648"/>
      <c r="P1276" s="648"/>
      <c r="R1276" s="626"/>
      <c r="T1276" s="633"/>
      <c r="U1276" s="634"/>
    </row>
    <row r="1277" spans="1:26" ht="19.399999999999999" customHeight="1">
      <c r="B1277" s="606" t="s">
        <v>2171</v>
      </c>
      <c r="C1277" s="654">
        <v>82</v>
      </c>
      <c r="D1277" s="607">
        <v>782</v>
      </c>
      <c r="E1277" s="608">
        <v>829240</v>
      </c>
      <c r="F1277" s="609" t="s">
        <v>732</v>
      </c>
      <c r="G1277" s="610"/>
      <c r="H1277" s="610"/>
      <c r="I1277" s="611" t="s">
        <v>44</v>
      </c>
      <c r="J1277" s="616">
        <v>35</v>
      </c>
      <c r="K1277" s="613">
        <v>43</v>
      </c>
      <c r="L1277" s="616">
        <v>43</v>
      </c>
      <c r="M1277" s="616">
        <v>43</v>
      </c>
      <c r="N1277" s="614">
        <v>45.466050000000003</v>
      </c>
      <c r="O1277" s="648"/>
      <c r="P1277" s="648"/>
      <c r="R1277" s="626"/>
      <c r="T1277" s="633"/>
      <c r="U1277" s="634"/>
    </row>
    <row r="1278" spans="1:26" ht="19.399999999999999" customHeight="1">
      <c r="B1278" s="606" t="s">
        <v>2171</v>
      </c>
      <c r="C1278" s="654">
        <v>82</v>
      </c>
      <c r="D1278" s="607">
        <v>783</v>
      </c>
      <c r="E1278" s="608">
        <v>829240</v>
      </c>
      <c r="F1278" s="609" t="s">
        <v>352</v>
      </c>
      <c r="G1278" s="610"/>
      <c r="H1278" s="610"/>
      <c r="I1278" s="611" t="s">
        <v>44</v>
      </c>
      <c r="J1278" s="616">
        <v>35</v>
      </c>
      <c r="K1278" s="613">
        <v>38</v>
      </c>
      <c r="L1278" s="616">
        <v>38</v>
      </c>
      <c r="M1278" s="616">
        <v>38</v>
      </c>
      <c r="N1278" s="614">
        <v>37.968059999999994</v>
      </c>
      <c r="O1278" s="648"/>
      <c r="P1278" s="648"/>
      <c r="R1278" s="626"/>
      <c r="T1278" s="633"/>
      <c r="U1278" s="634"/>
    </row>
    <row r="1279" spans="1:26" ht="19.399999999999999" customHeight="1">
      <c r="B1279" s="606" t="s">
        <v>2171</v>
      </c>
      <c r="C1279" s="654">
        <v>82</v>
      </c>
      <c r="D1279" s="607">
        <v>784</v>
      </c>
      <c r="E1279" s="608">
        <v>829240</v>
      </c>
      <c r="F1279" s="609" t="s">
        <v>723</v>
      </c>
      <c r="G1279" s="610"/>
      <c r="H1279" s="610"/>
      <c r="I1279" s="611" t="s">
        <v>44</v>
      </c>
      <c r="J1279" s="616">
        <v>35</v>
      </c>
      <c r="K1279" s="613">
        <v>38</v>
      </c>
      <c r="L1279" s="616">
        <v>38</v>
      </c>
      <c r="M1279" s="616">
        <v>38</v>
      </c>
      <c r="N1279" s="614">
        <v>27.839509999999997</v>
      </c>
      <c r="O1279" s="648"/>
      <c r="P1279" s="648"/>
      <c r="R1279" s="626"/>
      <c r="T1279" s="633"/>
      <c r="U1279" s="634"/>
    </row>
    <row r="1280" spans="1:26" ht="19.399999999999999" customHeight="1">
      <c r="B1280" s="606" t="s">
        <v>2171</v>
      </c>
      <c r="C1280" s="654">
        <v>82</v>
      </c>
      <c r="D1280" s="607">
        <v>785</v>
      </c>
      <c r="E1280" s="608">
        <v>829240</v>
      </c>
      <c r="F1280" s="609" t="s">
        <v>724</v>
      </c>
      <c r="G1280" s="610"/>
      <c r="H1280" s="610"/>
      <c r="I1280" s="611" t="s">
        <v>44</v>
      </c>
      <c r="J1280" s="616">
        <v>35</v>
      </c>
      <c r="K1280" s="613">
        <v>40</v>
      </c>
      <c r="L1280" s="616">
        <v>40</v>
      </c>
      <c r="M1280" s="616">
        <v>40</v>
      </c>
      <c r="N1280" s="614">
        <v>39.926919999999996</v>
      </c>
      <c r="O1280" s="648"/>
      <c r="P1280" s="648"/>
      <c r="R1280" s="626"/>
      <c r="T1280" s="633"/>
      <c r="U1280" s="634"/>
    </row>
    <row r="1281" spans="2:21" ht="19.399999999999999" customHeight="1">
      <c r="B1281" s="606" t="s">
        <v>2171</v>
      </c>
      <c r="C1281" s="654">
        <v>82</v>
      </c>
      <c r="D1281" s="607">
        <v>786</v>
      </c>
      <c r="E1281" s="608">
        <v>829240</v>
      </c>
      <c r="F1281" s="609" t="s">
        <v>1277</v>
      </c>
      <c r="G1281" s="610"/>
      <c r="H1281" s="610"/>
      <c r="I1281" s="611" t="s">
        <v>44</v>
      </c>
      <c r="J1281" s="616">
        <v>15</v>
      </c>
      <c r="K1281" s="613">
        <v>25</v>
      </c>
      <c r="L1281" s="616">
        <v>25</v>
      </c>
      <c r="M1281" s="616">
        <v>25</v>
      </c>
      <c r="N1281" s="614">
        <v>25.050639999999998</v>
      </c>
      <c r="O1281" s="648"/>
      <c r="P1281" s="648"/>
      <c r="R1281" s="626"/>
      <c r="T1281" s="633"/>
      <c r="U1281" s="634"/>
    </row>
    <row r="1282" spans="2:21" ht="19.399999999999999" customHeight="1">
      <c r="B1282" s="606" t="s">
        <v>2171</v>
      </c>
      <c r="C1282" s="654">
        <v>82</v>
      </c>
      <c r="D1282" s="607">
        <v>787</v>
      </c>
      <c r="E1282" s="608">
        <v>829240</v>
      </c>
      <c r="F1282" s="609" t="s">
        <v>1310</v>
      </c>
      <c r="G1282" s="610"/>
      <c r="H1282" s="610"/>
      <c r="I1282" s="611" t="s">
        <v>44</v>
      </c>
      <c r="J1282" s="616">
        <v>20</v>
      </c>
      <c r="K1282" s="613">
        <v>20</v>
      </c>
      <c r="L1282" s="616">
        <v>20</v>
      </c>
      <c r="M1282" s="616">
        <v>20</v>
      </c>
      <c r="N1282" s="614">
        <v>20.068429999999999</v>
      </c>
      <c r="O1282" s="648"/>
      <c r="P1282" s="648"/>
      <c r="R1282" s="626"/>
      <c r="T1282" s="633"/>
      <c r="U1282" s="634"/>
    </row>
    <row r="1283" spans="2:21" ht="19.399999999999999" customHeight="1">
      <c r="B1283" s="606" t="s">
        <v>2171</v>
      </c>
      <c r="C1283" s="654">
        <v>82</v>
      </c>
      <c r="D1283" s="607">
        <v>788</v>
      </c>
      <c r="E1283" s="608">
        <v>829240</v>
      </c>
      <c r="F1283" s="609" t="s">
        <v>1813</v>
      </c>
      <c r="G1283" s="610"/>
      <c r="H1283" s="610"/>
      <c r="I1283" s="611" t="s">
        <v>44</v>
      </c>
      <c r="J1283" s="616">
        <v>15</v>
      </c>
      <c r="K1283" s="613">
        <v>15</v>
      </c>
      <c r="L1283" s="616">
        <v>15</v>
      </c>
      <c r="M1283" s="616">
        <v>15</v>
      </c>
      <c r="N1283" s="614">
        <v>14.977309999999999</v>
      </c>
      <c r="O1283" s="648"/>
      <c r="P1283" s="648"/>
      <c r="R1283" s="626"/>
      <c r="T1283" s="633"/>
      <c r="U1283" s="634"/>
    </row>
    <row r="1284" spans="2:21" ht="19.399999999999999" customHeight="1">
      <c r="B1284" s="606" t="s">
        <v>2171</v>
      </c>
      <c r="C1284" s="654">
        <v>82</v>
      </c>
      <c r="D1284" s="607">
        <v>980</v>
      </c>
      <c r="E1284" s="608">
        <v>829240</v>
      </c>
      <c r="F1284" s="609" t="s">
        <v>2170</v>
      </c>
      <c r="G1284" s="610"/>
      <c r="H1284" s="610"/>
      <c r="I1284" s="611" t="s">
        <v>44</v>
      </c>
      <c r="J1284" s="616">
        <v>167</v>
      </c>
      <c r="K1284" s="613">
        <v>0</v>
      </c>
      <c r="L1284" s="616">
        <v>0</v>
      </c>
      <c r="M1284" s="616">
        <v>0</v>
      </c>
      <c r="N1284" s="614">
        <v>0</v>
      </c>
      <c r="O1284" s="648"/>
      <c r="P1284" s="648"/>
      <c r="R1284" s="626"/>
      <c r="T1284" s="633"/>
      <c r="U1284" s="634"/>
    </row>
    <row r="1285" spans="2:21" ht="28">
      <c r="B1285" s="749"/>
      <c r="C1285" s="712"/>
      <c r="D1285" s="713"/>
      <c r="E1285" s="714" t="s">
        <v>435</v>
      </c>
      <c r="F1285" s="715" t="s">
        <v>1225</v>
      </c>
      <c r="G1285" s="716">
        <f>SUM(G1269:G1284)</f>
        <v>21</v>
      </c>
      <c r="H1285" s="716">
        <f>SUM(H1269:H1284)</f>
        <v>19</v>
      </c>
      <c r="I1285" s="717"/>
      <c r="J1285" s="718">
        <f>SUM(J1269:J1284)</f>
        <v>5826</v>
      </c>
      <c r="K1285" s="719">
        <f>SUM(K1269:K1284)</f>
        <v>5332</v>
      </c>
      <c r="L1285" s="718">
        <f>SUM(L1269:L1284)</f>
        <v>5454</v>
      </c>
      <c r="M1285" s="718">
        <f>SUM(M1269:M1284)</f>
        <v>5600</v>
      </c>
      <c r="N1285" s="720">
        <f>SUM(N1269:N1284)</f>
        <v>5304.3835200000012</v>
      </c>
      <c r="O1285" s="648"/>
      <c r="P1285" s="648"/>
      <c r="R1285" s="626"/>
      <c r="T1285" s="633"/>
      <c r="U1285" s="632"/>
    </row>
    <row r="1286" spans="2:21" ht="19.149999999999999" customHeight="1">
      <c r="B1286" s="798"/>
      <c r="C1286" s="799"/>
      <c r="D1286" s="800"/>
      <c r="E1286" s="801" t="s">
        <v>280</v>
      </c>
      <c r="F1286" s="802" t="s">
        <v>791</v>
      </c>
      <c r="G1286" s="803"/>
      <c r="H1286" s="803"/>
      <c r="I1286" s="804"/>
      <c r="J1286" s="805"/>
      <c r="K1286" s="806"/>
      <c r="L1286" s="805"/>
      <c r="M1286" s="805"/>
      <c r="N1286" s="807"/>
      <c r="O1286" s="648"/>
      <c r="P1286" s="648"/>
      <c r="R1286" s="626"/>
      <c r="T1286" s="633"/>
      <c r="U1286" s="632"/>
    </row>
    <row r="1287" spans="2:21" ht="26.65" customHeight="1">
      <c r="B1287" s="606" t="s">
        <v>791</v>
      </c>
      <c r="C1287" s="654">
        <v>82</v>
      </c>
      <c r="D1287" s="607">
        <v>870</v>
      </c>
      <c r="E1287" s="608">
        <v>829250</v>
      </c>
      <c r="F1287" s="609" t="s">
        <v>1991</v>
      </c>
      <c r="G1287" s="610"/>
      <c r="H1287" s="610"/>
      <c r="I1287" s="611" t="s">
        <v>175</v>
      </c>
      <c r="J1287" s="616">
        <v>133</v>
      </c>
      <c r="K1287" s="613">
        <v>133</v>
      </c>
      <c r="L1287" s="616">
        <v>133</v>
      </c>
      <c r="M1287" s="616">
        <v>133</v>
      </c>
      <c r="N1287" s="614">
        <v>133</v>
      </c>
      <c r="O1287" s="648"/>
      <c r="P1287" s="648"/>
      <c r="R1287" s="626"/>
      <c r="T1287" s="633"/>
      <c r="U1287" s="634"/>
    </row>
    <row r="1288" spans="2:21" ht="19.149999999999999" customHeight="1">
      <c r="B1288" s="747"/>
      <c r="C1288" s="656"/>
      <c r="D1288" s="618"/>
      <c r="E1288" s="619" t="s">
        <v>280</v>
      </c>
      <c r="F1288" s="620" t="s">
        <v>899</v>
      </c>
      <c r="G1288" s="621">
        <f>SUM(G1287:G1287)</f>
        <v>0</v>
      </c>
      <c r="H1288" s="621">
        <f>SUM(H1287:H1287)</f>
        <v>0</v>
      </c>
      <c r="I1288" s="622"/>
      <c r="J1288" s="623">
        <f>SUM(J1287:J1287)</f>
        <v>133</v>
      </c>
      <c r="K1288" s="624">
        <f>SUM(K1287:K1287)</f>
        <v>133</v>
      </c>
      <c r="L1288" s="623">
        <f>SUM(L1287:L1287)</f>
        <v>133</v>
      </c>
      <c r="M1288" s="623">
        <f>SUM(M1287:M1287)</f>
        <v>133</v>
      </c>
      <c r="N1288" s="625">
        <f>SUM(N1287:N1287)</f>
        <v>133</v>
      </c>
      <c r="O1288" s="648"/>
      <c r="P1288" s="648"/>
      <c r="R1288" s="626"/>
      <c r="T1288" s="633"/>
      <c r="U1288" s="632"/>
    </row>
    <row r="1289" spans="2:21" ht="19.149999999999999" customHeight="1">
      <c r="B1289" s="704"/>
      <c r="C1289" s="684"/>
      <c r="D1289" s="705"/>
      <c r="E1289" s="695" t="s">
        <v>900</v>
      </c>
      <c r="F1289" s="687" t="s">
        <v>901</v>
      </c>
      <c r="G1289" s="706"/>
      <c r="H1289" s="706"/>
      <c r="I1289" s="707"/>
      <c r="J1289" s="690"/>
      <c r="K1289" s="693"/>
      <c r="L1289" s="690"/>
      <c r="M1289" s="690"/>
      <c r="N1289" s="708"/>
      <c r="O1289" s="648"/>
      <c r="P1289" s="648"/>
      <c r="R1289" s="626"/>
      <c r="T1289" s="633"/>
      <c r="U1289" s="632"/>
    </row>
    <row r="1290" spans="2:21" ht="19.149999999999999" customHeight="1">
      <c r="B1290" s="606" t="s">
        <v>901</v>
      </c>
      <c r="C1290" s="654">
        <v>82</v>
      </c>
      <c r="D1290" s="607">
        <v>100</v>
      </c>
      <c r="E1290" s="608">
        <v>829290</v>
      </c>
      <c r="F1290" s="609" t="s">
        <v>1058</v>
      </c>
      <c r="G1290" s="610">
        <v>1</v>
      </c>
      <c r="H1290" s="610">
        <v>1</v>
      </c>
      <c r="I1290" s="611" t="s">
        <v>669</v>
      </c>
      <c r="J1290" s="616">
        <v>410</v>
      </c>
      <c r="K1290" s="613">
        <v>396</v>
      </c>
      <c r="L1290" s="616">
        <v>420</v>
      </c>
      <c r="M1290" s="616">
        <v>420</v>
      </c>
      <c r="N1290" s="614">
        <v>400.42771000000005</v>
      </c>
      <c r="O1290" s="648"/>
      <c r="P1290" s="648"/>
      <c r="R1290" s="626"/>
      <c r="T1290" s="633"/>
      <c r="U1290" s="634"/>
    </row>
    <row r="1291" spans="2:21" ht="19.149999999999999" customHeight="1">
      <c r="B1291" s="606" t="s">
        <v>901</v>
      </c>
      <c r="C1291" s="654">
        <v>82</v>
      </c>
      <c r="D1291" s="607">
        <v>420</v>
      </c>
      <c r="E1291" s="608">
        <v>829290</v>
      </c>
      <c r="F1291" s="609" t="s">
        <v>544</v>
      </c>
      <c r="G1291" s="610"/>
      <c r="H1291" s="610"/>
      <c r="I1291" s="611" t="s">
        <v>44</v>
      </c>
      <c r="J1291" s="616">
        <v>285</v>
      </c>
      <c r="K1291" s="613">
        <v>298</v>
      </c>
      <c r="L1291" s="616">
        <v>298</v>
      </c>
      <c r="M1291" s="616">
        <v>298</v>
      </c>
      <c r="N1291" s="614">
        <v>296.33803</v>
      </c>
      <c r="O1291" s="648"/>
      <c r="P1291" s="648"/>
      <c r="R1291" s="626"/>
      <c r="T1291" s="633"/>
      <c r="U1291" s="634"/>
    </row>
    <row r="1292" spans="2:21" ht="19.149999999999999" customHeight="1">
      <c r="B1292" s="606" t="s">
        <v>901</v>
      </c>
      <c r="C1292" s="654">
        <v>82</v>
      </c>
      <c r="D1292" s="607">
        <v>430</v>
      </c>
      <c r="E1292" s="608">
        <v>829290</v>
      </c>
      <c r="F1292" s="609" t="s">
        <v>192</v>
      </c>
      <c r="G1292" s="610"/>
      <c r="H1292" s="610"/>
      <c r="I1292" s="611" t="s">
        <v>175</v>
      </c>
      <c r="J1292" s="616">
        <v>146</v>
      </c>
      <c r="K1292" s="613">
        <v>117</v>
      </c>
      <c r="L1292" s="616">
        <v>146</v>
      </c>
      <c r="M1292" s="616">
        <v>146</v>
      </c>
      <c r="N1292" s="614">
        <v>127.00439</v>
      </c>
      <c r="O1292" s="648"/>
      <c r="P1292" s="648"/>
      <c r="R1292" s="626"/>
      <c r="T1292" s="633"/>
      <c r="U1292" s="634"/>
    </row>
    <row r="1293" spans="2:21" ht="19.149999999999999" customHeight="1">
      <c r="B1293" s="606" t="s">
        <v>901</v>
      </c>
      <c r="C1293" s="654">
        <v>82</v>
      </c>
      <c r="D1293" s="607">
        <v>432</v>
      </c>
      <c r="E1293" s="608">
        <v>829290</v>
      </c>
      <c r="F1293" s="609" t="s">
        <v>103</v>
      </c>
      <c r="G1293" s="610"/>
      <c r="H1293" s="610"/>
      <c r="I1293" s="611" t="s">
        <v>175</v>
      </c>
      <c r="J1293" s="616">
        <v>267</v>
      </c>
      <c r="K1293" s="613">
        <v>267</v>
      </c>
      <c r="L1293" s="616">
        <v>216</v>
      </c>
      <c r="M1293" s="616">
        <v>216</v>
      </c>
      <c r="N1293" s="614">
        <v>257.71809999999999</v>
      </c>
      <c r="O1293" s="648"/>
      <c r="P1293" s="648"/>
      <c r="R1293" s="626"/>
      <c r="T1293" s="633"/>
      <c r="U1293" s="634"/>
    </row>
    <row r="1294" spans="2:21" ht="19.149999999999999" customHeight="1">
      <c r="B1294" s="606" t="s">
        <v>901</v>
      </c>
      <c r="C1294" s="654">
        <v>10</v>
      </c>
      <c r="D1294" s="607">
        <v>540</v>
      </c>
      <c r="E1294" s="608">
        <v>829290</v>
      </c>
      <c r="F1294" s="609" t="s">
        <v>1648</v>
      </c>
      <c r="G1294" s="610"/>
      <c r="H1294" s="610"/>
      <c r="I1294" s="611" t="s">
        <v>175</v>
      </c>
      <c r="J1294" s="616">
        <v>5</v>
      </c>
      <c r="K1294" s="613">
        <v>5</v>
      </c>
      <c r="L1294" s="616">
        <v>5</v>
      </c>
      <c r="M1294" s="616">
        <v>5</v>
      </c>
      <c r="N1294" s="614">
        <v>4.3151400000000004</v>
      </c>
      <c r="O1294" s="648"/>
      <c r="P1294" s="648"/>
      <c r="R1294" s="626"/>
      <c r="T1294" s="633"/>
      <c r="U1294" s="634"/>
    </row>
    <row r="1295" spans="2:21" ht="19.149999999999999" customHeight="1">
      <c r="B1295" s="606" t="s">
        <v>901</v>
      </c>
      <c r="C1295" s="654">
        <v>5</v>
      </c>
      <c r="D1295" s="607">
        <v>730</v>
      </c>
      <c r="E1295" s="608">
        <v>829290</v>
      </c>
      <c r="F1295" s="609" t="s">
        <v>1554</v>
      </c>
      <c r="G1295" s="610"/>
      <c r="H1295" s="610"/>
      <c r="I1295" s="611" t="s">
        <v>175</v>
      </c>
      <c r="J1295" s="616">
        <v>12</v>
      </c>
      <c r="K1295" s="613">
        <v>12</v>
      </c>
      <c r="L1295" s="616">
        <v>12</v>
      </c>
      <c r="M1295" s="616">
        <v>12</v>
      </c>
      <c r="N1295" s="614">
        <v>8.9722399999999993</v>
      </c>
      <c r="O1295" s="648"/>
      <c r="P1295" s="648"/>
      <c r="R1295" s="626"/>
      <c r="T1295" s="633"/>
      <c r="U1295" s="634"/>
    </row>
    <row r="1296" spans="2:21" ht="19.149999999999999" customHeight="1">
      <c r="B1296" s="606" t="s">
        <v>901</v>
      </c>
      <c r="C1296" s="816">
        <v>3</v>
      </c>
      <c r="D1296" s="607">
        <v>750</v>
      </c>
      <c r="E1296" s="608">
        <v>829290</v>
      </c>
      <c r="F1296" s="609" t="s">
        <v>828</v>
      </c>
      <c r="G1296" s="610"/>
      <c r="H1296" s="610"/>
      <c r="I1296" s="611" t="s">
        <v>175</v>
      </c>
      <c r="J1296" s="616">
        <v>1010</v>
      </c>
      <c r="K1296" s="613">
        <v>984</v>
      </c>
      <c r="L1296" s="616">
        <v>984</v>
      </c>
      <c r="M1296" s="616">
        <v>1007</v>
      </c>
      <c r="N1296" s="614">
        <v>928.99886000000004</v>
      </c>
      <c r="O1296" s="648"/>
      <c r="P1296" s="648"/>
      <c r="R1296" s="626"/>
      <c r="T1296" s="633"/>
      <c r="U1296" s="634"/>
    </row>
    <row r="1297" spans="2:26" ht="19.149999999999999" customHeight="1">
      <c r="B1297" s="606" t="s">
        <v>901</v>
      </c>
      <c r="C1297" s="816">
        <v>5</v>
      </c>
      <c r="D1297" s="607">
        <v>752</v>
      </c>
      <c r="E1297" s="608">
        <v>829290</v>
      </c>
      <c r="F1297" s="609" t="s">
        <v>670</v>
      </c>
      <c r="G1297" s="610"/>
      <c r="H1297" s="610"/>
      <c r="I1297" s="611" t="s">
        <v>175</v>
      </c>
      <c r="J1297" s="616">
        <v>219</v>
      </c>
      <c r="K1297" s="613">
        <v>219</v>
      </c>
      <c r="L1297" s="616">
        <v>219</v>
      </c>
      <c r="M1297" s="616">
        <v>204</v>
      </c>
      <c r="N1297" s="614">
        <v>220.91929000000002</v>
      </c>
      <c r="O1297" s="648"/>
      <c r="P1297" s="648"/>
      <c r="R1297" s="626"/>
      <c r="T1297" s="633"/>
      <c r="U1297" s="634"/>
    </row>
    <row r="1298" spans="2:26" ht="19.149999999999999" customHeight="1">
      <c r="B1298" s="606" t="s">
        <v>901</v>
      </c>
      <c r="C1298" s="655">
        <v>82</v>
      </c>
      <c r="D1298" s="615">
        <v>755</v>
      </c>
      <c r="E1298" s="608">
        <v>829290</v>
      </c>
      <c r="F1298" s="609" t="s">
        <v>1248</v>
      </c>
      <c r="G1298" s="610"/>
      <c r="H1298" s="610"/>
      <c r="I1298" s="611" t="s">
        <v>44</v>
      </c>
      <c r="J1298" s="616">
        <v>253</v>
      </c>
      <c r="K1298" s="613">
        <v>185</v>
      </c>
      <c r="L1298" s="616">
        <v>198</v>
      </c>
      <c r="M1298" s="616">
        <v>253</v>
      </c>
      <c r="N1298" s="614">
        <v>219.56868</v>
      </c>
      <c r="O1298" s="648"/>
      <c r="P1298" s="648"/>
      <c r="R1298" s="626"/>
      <c r="T1298" s="633"/>
      <c r="U1298" s="634"/>
    </row>
    <row r="1299" spans="2:26" ht="19.149999999999999" customHeight="1">
      <c r="B1299" s="606" t="s">
        <v>901</v>
      </c>
      <c r="C1299" s="654">
        <v>82</v>
      </c>
      <c r="D1299" s="607">
        <v>780</v>
      </c>
      <c r="E1299" s="608">
        <v>829290</v>
      </c>
      <c r="F1299" s="609" t="s">
        <v>1345</v>
      </c>
      <c r="G1299" s="610"/>
      <c r="H1299" s="610"/>
      <c r="I1299" s="611" t="s">
        <v>44</v>
      </c>
      <c r="J1299" s="616">
        <v>393</v>
      </c>
      <c r="K1299" s="613">
        <v>393</v>
      </c>
      <c r="L1299" s="616">
        <v>393</v>
      </c>
      <c r="M1299" s="616">
        <v>393</v>
      </c>
      <c r="N1299" s="614">
        <v>338.46100999999999</v>
      </c>
      <c r="O1299" s="648"/>
      <c r="P1299" s="648"/>
      <c r="R1299" s="626"/>
      <c r="T1299" s="633"/>
      <c r="U1299" s="634"/>
    </row>
    <row r="1300" spans="2:26" ht="19.149999999999999" customHeight="1">
      <c r="B1300" s="747"/>
      <c r="C1300" s="656"/>
      <c r="D1300" s="618"/>
      <c r="E1300" s="619" t="s">
        <v>900</v>
      </c>
      <c r="F1300" s="755" t="s">
        <v>584</v>
      </c>
      <c r="G1300" s="621">
        <f>SUM(G1290:G1298)</f>
        <v>1</v>
      </c>
      <c r="H1300" s="621">
        <f>SUM(H1290:H1298)</f>
        <v>1</v>
      </c>
      <c r="I1300" s="622"/>
      <c r="J1300" s="623">
        <f>SUM(J1290:J1299)</f>
        <v>3000</v>
      </c>
      <c r="K1300" s="624">
        <f>SUM(K1290:K1299)</f>
        <v>2876</v>
      </c>
      <c r="L1300" s="623">
        <f>SUM(L1290:L1299)</f>
        <v>2891</v>
      </c>
      <c r="M1300" s="623">
        <f>SUM(M1290:M1299)</f>
        <v>2954</v>
      </c>
      <c r="N1300" s="625">
        <f>SUM(N1290:N1299)</f>
        <v>2802.72345</v>
      </c>
      <c r="O1300" s="648"/>
      <c r="P1300" s="648"/>
      <c r="R1300" s="626"/>
      <c r="T1300" s="633"/>
      <c r="U1300" s="632"/>
    </row>
    <row r="1301" spans="2:26" ht="26.65" customHeight="1">
      <c r="B1301" s="704"/>
      <c r="C1301" s="684"/>
      <c r="D1301" s="705"/>
      <c r="E1301" s="695" t="s">
        <v>1288</v>
      </c>
      <c r="F1301" s="751" t="s">
        <v>1717</v>
      </c>
      <c r="G1301" s="706"/>
      <c r="H1301" s="706"/>
      <c r="I1301" s="707"/>
      <c r="J1301" s="690"/>
      <c r="K1301" s="693"/>
      <c r="L1301" s="690"/>
      <c r="M1301" s="690"/>
      <c r="N1301" s="708"/>
      <c r="O1301" s="648"/>
      <c r="P1301" s="648"/>
      <c r="R1301" s="626"/>
      <c r="T1301" s="633"/>
      <c r="U1301" s="632"/>
    </row>
    <row r="1302" spans="2:26" ht="19.149999999999999" customHeight="1">
      <c r="B1302" s="606" t="s">
        <v>1667</v>
      </c>
      <c r="C1302" s="654">
        <v>82</v>
      </c>
      <c r="D1302" s="607">
        <v>870</v>
      </c>
      <c r="E1302" s="828">
        <v>829520</v>
      </c>
      <c r="F1302" s="710" t="s">
        <v>1791</v>
      </c>
      <c r="G1302" s="610"/>
      <c r="H1302" s="610"/>
      <c r="I1302" s="611" t="s">
        <v>175</v>
      </c>
      <c r="J1302" s="616">
        <v>300</v>
      </c>
      <c r="K1302" s="613">
        <v>300</v>
      </c>
      <c r="L1302" s="616">
        <v>300</v>
      </c>
      <c r="M1302" s="616">
        <v>300</v>
      </c>
      <c r="N1302" s="614">
        <v>542</v>
      </c>
      <c r="O1302" s="648"/>
      <c r="P1302" s="648"/>
      <c r="R1302" s="626"/>
      <c r="T1302" s="633"/>
      <c r="U1302" s="634"/>
    </row>
    <row r="1303" spans="2:26" ht="19.149999999999999" customHeight="1">
      <c r="B1303" s="747"/>
      <c r="C1303" s="656"/>
      <c r="D1303" s="618"/>
      <c r="E1303" s="619" t="s">
        <v>1288</v>
      </c>
      <c r="F1303" s="620" t="s">
        <v>1666</v>
      </c>
      <c r="G1303" s="621">
        <f>SUM(G1302:G1302)</f>
        <v>0</v>
      </c>
      <c r="H1303" s="621">
        <f>SUM(H1302:H1302)</f>
        <v>0</v>
      </c>
      <c r="I1303" s="622"/>
      <c r="J1303" s="623">
        <f>SUM(J1302:J1302)</f>
        <v>300</v>
      </c>
      <c r="K1303" s="624">
        <f>SUM(K1302:K1302)</f>
        <v>300</v>
      </c>
      <c r="L1303" s="623">
        <f>SUM(L1302:L1302)</f>
        <v>300</v>
      </c>
      <c r="M1303" s="623">
        <f>SUM(M1302:M1302)</f>
        <v>300</v>
      </c>
      <c r="N1303" s="625">
        <f>SUM(N1302:N1302)</f>
        <v>542</v>
      </c>
      <c r="O1303" s="648"/>
      <c r="P1303" s="648"/>
      <c r="R1303" s="626"/>
      <c r="T1303" s="633"/>
      <c r="U1303" s="632"/>
    </row>
    <row r="1304" spans="2:26" ht="20.149999999999999" customHeight="1">
      <c r="B1304" s="704"/>
      <c r="C1304" s="684"/>
      <c r="D1304" s="705"/>
      <c r="E1304" s="695" t="s">
        <v>60</v>
      </c>
      <c r="F1304" s="687" t="s">
        <v>61</v>
      </c>
      <c r="G1304" s="706"/>
      <c r="H1304" s="706"/>
      <c r="I1304" s="707"/>
      <c r="J1304" s="690"/>
      <c r="K1304" s="693"/>
      <c r="L1304" s="690"/>
      <c r="M1304" s="690"/>
      <c r="N1304" s="708"/>
      <c r="O1304" s="648"/>
      <c r="P1304" s="648"/>
      <c r="R1304" s="626"/>
      <c r="T1304" s="633"/>
      <c r="U1304" s="632"/>
    </row>
    <row r="1305" spans="2:26" ht="20.149999999999999" customHeight="1">
      <c r="B1305" s="606" t="s">
        <v>61</v>
      </c>
      <c r="C1305" s="654">
        <v>82</v>
      </c>
      <c r="D1305" s="607">
        <v>100</v>
      </c>
      <c r="E1305" s="828">
        <v>829530</v>
      </c>
      <c r="F1305" s="710" t="s">
        <v>1036</v>
      </c>
      <c r="G1305" s="610">
        <v>1</v>
      </c>
      <c r="H1305" s="610">
        <v>1</v>
      </c>
      <c r="I1305" s="611" t="s">
        <v>669</v>
      </c>
      <c r="J1305" s="616">
        <v>180</v>
      </c>
      <c r="K1305" s="613">
        <v>173</v>
      </c>
      <c r="L1305" s="616">
        <v>180</v>
      </c>
      <c r="M1305" s="616">
        <v>180</v>
      </c>
      <c r="N1305" s="614">
        <v>174.64368999999999</v>
      </c>
      <c r="O1305" s="648"/>
      <c r="P1305" s="648"/>
      <c r="R1305" s="626"/>
      <c r="T1305" s="633"/>
      <c r="U1305" s="634"/>
    </row>
    <row r="1306" spans="2:26" ht="20.149999999999999" customHeight="1">
      <c r="B1306" s="606" t="s">
        <v>61</v>
      </c>
      <c r="C1306" s="654">
        <v>10</v>
      </c>
      <c r="D1306" s="607">
        <v>540</v>
      </c>
      <c r="E1306" s="828">
        <v>829530</v>
      </c>
      <c r="F1306" s="710" t="s">
        <v>1648</v>
      </c>
      <c r="G1306" s="610"/>
      <c r="H1306" s="610"/>
      <c r="I1306" s="611" t="s">
        <v>175</v>
      </c>
      <c r="J1306" s="616">
        <v>3</v>
      </c>
      <c r="K1306" s="613">
        <v>3</v>
      </c>
      <c r="L1306" s="616">
        <v>3</v>
      </c>
      <c r="M1306" s="616">
        <v>3</v>
      </c>
      <c r="N1306" s="614">
        <v>2.58169</v>
      </c>
      <c r="O1306" s="648"/>
      <c r="P1306" s="648"/>
      <c r="R1306" s="626"/>
      <c r="T1306" s="633"/>
      <c r="U1306" s="634"/>
    </row>
    <row r="1307" spans="2:26" ht="20.149999999999999" customHeight="1">
      <c r="B1307" s="606" t="s">
        <v>61</v>
      </c>
      <c r="C1307" s="816">
        <v>5</v>
      </c>
      <c r="D1307" s="607">
        <v>750</v>
      </c>
      <c r="E1307" s="828">
        <v>829530</v>
      </c>
      <c r="F1307" s="710" t="s">
        <v>361</v>
      </c>
      <c r="G1307" s="610"/>
      <c r="H1307" s="610"/>
      <c r="I1307" s="611" t="s">
        <v>175</v>
      </c>
      <c r="J1307" s="612">
        <v>15</v>
      </c>
      <c r="K1307" s="613">
        <v>15</v>
      </c>
      <c r="L1307" s="612">
        <v>15</v>
      </c>
      <c r="M1307" s="612">
        <v>15</v>
      </c>
      <c r="N1307" s="614">
        <v>14.016830000000001</v>
      </c>
      <c r="O1307" s="648"/>
      <c r="P1307" s="648"/>
      <c r="R1307" s="626"/>
      <c r="T1307" s="633"/>
      <c r="U1307" s="635"/>
    </row>
    <row r="1308" spans="2:26" ht="20.149999999999999" customHeight="1">
      <c r="B1308" s="606" t="s">
        <v>61</v>
      </c>
      <c r="C1308" s="654">
        <v>82</v>
      </c>
      <c r="D1308" s="607">
        <v>780</v>
      </c>
      <c r="E1308" s="828">
        <v>829530</v>
      </c>
      <c r="F1308" s="710" t="s">
        <v>610</v>
      </c>
      <c r="G1308" s="610"/>
      <c r="H1308" s="610"/>
      <c r="I1308" s="611" t="s">
        <v>44</v>
      </c>
      <c r="J1308" s="616">
        <v>25</v>
      </c>
      <c r="K1308" s="613">
        <v>25</v>
      </c>
      <c r="L1308" s="616">
        <v>25</v>
      </c>
      <c r="M1308" s="616">
        <v>25</v>
      </c>
      <c r="N1308" s="614">
        <v>25</v>
      </c>
      <c r="O1308" s="648"/>
      <c r="P1308" s="648"/>
      <c r="R1308" s="626"/>
      <c r="T1308" s="633"/>
      <c r="U1308" s="634"/>
    </row>
    <row r="1309" spans="2:26" ht="20.149999999999999" customHeight="1">
      <c r="B1309" s="747"/>
      <c r="C1309" s="656"/>
      <c r="D1309" s="618"/>
      <c r="E1309" s="619" t="s">
        <v>60</v>
      </c>
      <c r="F1309" s="620" t="s">
        <v>62</v>
      </c>
      <c r="G1309" s="621">
        <f>SUM(G1305:G1308)</f>
        <v>1</v>
      </c>
      <c r="H1309" s="621">
        <f>SUM(H1305:H1308)</f>
        <v>1</v>
      </c>
      <c r="I1309" s="622"/>
      <c r="J1309" s="623">
        <f>SUM(J1305:J1308)</f>
        <v>223</v>
      </c>
      <c r="K1309" s="624">
        <f>SUM(K1305:K1308)</f>
        <v>216</v>
      </c>
      <c r="L1309" s="623">
        <f>SUM(L1305:L1308)</f>
        <v>223</v>
      </c>
      <c r="M1309" s="623">
        <f>SUM(M1305:M1308)</f>
        <v>223</v>
      </c>
      <c r="N1309" s="625">
        <f>SUM(N1305:N1308)</f>
        <v>216.24221</v>
      </c>
      <c r="O1309" s="648"/>
      <c r="P1309" s="648"/>
      <c r="R1309" s="626"/>
      <c r="T1309" s="633"/>
      <c r="U1309" s="632"/>
    </row>
    <row r="1310" spans="2:26" ht="20.149999999999999" customHeight="1">
      <c r="B1310" s="704"/>
      <c r="C1310" s="684"/>
      <c r="D1310" s="705"/>
      <c r="E1310" s="695" t="s">
        <v>663</v>
      </c>
      <c r="F1310" s="687" t="s">
        <v>812</v>
      </c>
      <c r="G1310" s="706"/>
      <c r="H1310" s="706"/>
      <c r="I1310" s="707"/>
      <c r="J1310" s="690"/>
      <c r="K1310" s="693"/>
      <c r="L1310" s="690"/>
      <c r="M1310" s="690"/>
      <c r="N1310" s="708"/>
      <c r="O1310" s="648"/>
      <c r="P1310" s="648"/>
      <c r="R1310" s="626"/>
      <c r="T1310" s="633"/>
      <c r="U1310" s="632"/>
    </row>
    <row r="1311" spans="2:26" ht="47.25" customHeight="1">
      <c r="B1311" s="606" t="s">
        <v>812</v>
      </c>
      <c r="C1311" s="655">
        <v>7</v>
      </c>
      <c r="D1311" s="615">
        <v>825</v>
      </c>
      <c r="E1311" s="608">
        <v>829900</v>
      </c>
      <c r="F1311" s="703" t="s">
        <v>2392</v>
      </c>
      <c r="G1311" s="610"/>
      <c r="H1311" s="610"/>
      <c r="I1311" s="611" t="s">
        <v>175</v>
      </c>
      <c r="J1311" s="616">
        <f>5239-1100-75+41</f>
        <v>4105</v>
      </c>
      <c r="K1311" s="613">
        <v>5239</v>
      </c>
      <c r="L1311" s="616">
        <v>5239</v>
      </c>
      <c r="M1311" s="616">
        <v>5663</v>
      </c>
      <c r="N1311" s="614">
        <v>5262.8940000000002</v>
      </c>
      <c r="O1311" s="648"/>
      <c r="P1311" s="648"/>
      <c r="R1311" s="626"/>
      <c r="T1311" s="633"/>
      <c r="U1311" s="634"/>
    </row>
    <row r="1312" spans="2:26" ht="20.149999999999999" customHeight="1">
      <c r="B1312" s="606" t="s">
        <v>812</v>
      </c>
      <c r="C1312" s="655">
        <v>7</v>
      </c>
      <c r="D1312" s="615">
        <v>826</v>
      </c>
      <c r="E1312" s="608">
        <v>829900</v>
      </c>
      <c r="F1312" s="703" t="s">
        <v>1718</v>
      </c>
      <c r="G1312" s="610"/>
      <c r="H1312" s="610"/>
      <c r="I1312" s="611" t="s">
        <v>175</v>
      </c>
      <c r="J1312" s="616">
        <v>600</v>
      </c>
      <c r="K1312" s="613">
        <v>746</v>
      </c>
      <c r="L1312" s="616">
        <v>746</v>
      </c>
      <c r="M1312" s="616">
        <v>500</v>
      </c>
      <c r="N1312" s="614">
        <v>877</v>
      </c>
      <c r="O1312" s="648"/>
      <c r="P1312" s="648"/>
      <c r="R1312" s="626"/>
      <c r="T1312" s="633"/>
      <c r="U1312" s="634"/>
      <c r="Z1312" s="216"/>
    </row>
    <row r="1313" spans="2:21" ht="20.149999999999999" customHeight="1">
      <c r="B1313" s="749"/>
      <c r="C1313" s="712"/>
      <c r="D1313" s="713"/>
      <c r="E1313" s="714" t="s">
        <v>663</v>
      </c>
      <c r="F1313" s="715" t="s">
        <v>1174</v>
      </c>
      <c r="G1313" s="716">
        <f>SUM(G1310:G1311)</f>
        <v>0</v>
      </c>
      <c r="H1313" s="716">
        <f>SUM(H1310:H1311)</f>
        <v>0</v>
      </c>
      <c r="I1313" s="717"/>
      <c r="J1313" s="718">
        <f>SUM(J1310:J1312)</f>
        <v>4705</v>
      </c>
      <c r="K1313" s="719">
        <f>SUM(K1310:K1312)</f>
        <v>5985</v>
      </c>
      <c r="L1313" s="718">
        <f>SUM(L1310:L1312)</f>
        <v>5985</v>
      </c>
      <c r="M1313" s="718">
        <f>SUM(M1310:M1312)</f>
        <v>6163</v>
      </c>
      <c r="N1313" s="720">
        <f>SUM(N1310:N1312)</f>
        <v>6139.8940000000002</v>
      </c>
      <c r="O1313" s="648"/>
      <c r="P1313" s="648"/>
      <c r="R1313" s="626"/>
      <c r="T1313" s="633"/>
      <c r="U1313" s="632"/>
    </row>
    <row r="1314" spans="2:21" ht="20.149999999999999" customHeight="1">
      <c r="B1314" s="704"/>
      <c r="C1314" s="684"/>
      <c r="D1314" s="705"/>
      <c r="E1314" s="695" t="s">
        <v>1175</v>
      </c>
      <c r="F1314" s="687" t="s">
        <v>974</v>
      </c>
      <c r="G1314" s="706"/>
      <c r="H1314" s="706"/>
      <c r="I1314" s="707"/>
      <c r="J1314" s="690"/>
      <c r="K1314" s="693"/>
      <c r="L1314" s="690"/>
      <c r="M1314" s="690"/>
      <c r="N1314" s="708"/>
      <c r="O1314" s="648"/>
      <c r="P1314" s="648"/>
      <c r="R1314" s="626"/>
      <c r="T1314" s="633"/>
      <c r="U1314" s="632"/>
    </row>
    <row r="1315" spans="2:21" ht="20.149999999999999" customHeight="1">
      <c r="B1315" s="606" t="s">
        <v>2183</v>
      </c>
      <c r="C1315" s="654">
        <v>82</v>
      </c>
      <c r="D1315" s="607">
        <v>100</v>
      </c>
      <c r="E1315" s="608">
        <v>829910</v>
      </c>
      <c r="F1315" s="609" t="s">
        <v>1278</v>
      </c>
      <c r="G1315" s="610">
        <v>0</v>
      </c>
      <c r="H1315" s="610">
        <v>0</v>
      </c>
      <c r="I1315" s="611" t="s">
        <v>669</v>
      </c>
      <c r="J1315" s="616">
        <v>42</v>
      </c>
      <c r="K1315" s="613">
        <v>40</v>
      </c>
      <c r="L1315" s="616">
        <v>42</v>
      </c>
      <c r="M1315" s="616">
        <v>42</v>
      </c>
      <c r="N1315" s="614">
        <v>39.363419999999998</v>
      </c>
      <c r="O1315" s="648"/>
      <c r="P1315" s="648"/>
      <c r="R1315" s="626"/>
      <c r="T1315" s="633"/>
      <c r="U1315" s="634"/>
    </row>
    <row r="1316" spans="2:21" ht="20.149999999999999" customHeight="1">
      <c r="B1316" s="606" t="s">
        <v>2183</v>
      </c>
      <c r="C1316" s="654">
        <v>82</v>
      </c>
      <c r="D1316" s="607">
        <v>780</v>
      </c>
      <c r="E1316" s="608">
        <v>829910</v>
      </c>
      <c r="F1316" s="609" t="s">
        <v>1625</v>
      </c>
      <c r="G1316" s="610"/>
      <c r="H1316" s="610"/>
      <c r="I1316" s="611" t="s">
        <v>175</v>
      </c>
      <c r="J1316" s="616">
        <v>70</v>
      </c>
      <c r="K1316" s="613">
        <v>56</v>
      </c>
      <c r="L1316" s="616">
        <v>81</v>
      </c>
      <c r="M1316" s="616">
        <v>81</v>
      </c>
      <c r="N1316" s="614">
        <v>62.334000000000003</v>
      </c>
      <c r="O1316" s="648"/>
      <c r="P1316" s="648"/>
      <c r="R1316" s="626"/>
      <c r="T1316" s="633"/>
      <c r="U1316" s="634"/>
    </row>
    <row r="1317" spans="2:21" ht="28">
      <c r="B1317" s="606" t="s">
        <v>2183</v>
      </c>
      <c r="C1317" s="654">
        <v>82</v>
      </c>
      <c r="D1317" s="607">
        <v>781</v>
      </c>
      <c r="E1317" s="608">
        <v>829910</v>
      </c>
      <c r="F1317" s="609" t="s">
        <v>2173</v>
      </c>
      <c r="G1317" s="610"/>
      <c r="H1317" s="610"/>
      <c r="I1317" s="611" t="s">
        <v>44</v>
      </c>
      <c r="J1317" s="616">
        <v>0</v>
      </c>
      <c r="K1317" s="613">
        <v>50</v>
      </c>
      <c r="L1317" s="616">
        <v>50</v>
      </c>
      <c r="M1317" s="616">
        <v>60</v>
      </c>
      <c r="N1317" s="614">
        <v>56.368699999999997</v>
      </c>
      <c r="O1317" s="648"/>
      <c r="P1317" s="648"/>
      <c r="R1317" s="626"/>
      <c r="T1317" s="633"/>
      <c r="U1317" s="634"/>
    </row>
    <row r="1318" spans="2:21" ht="20.149999999999999" customHeight="1">
      <c r="B1318" s="606" t="s">
        <v>2183</v>
      </c>
      <c r="C1318" s="654">
        <v>82</v>
      </c>
      <c r="D1318" s="607">
        <v>870</v>
      </c>
      <c r="E1318" s="608">
        <v>829910</v>
      </c>
      <c r="F1318" s="609" t="s">
        <v>1400</v>
      </c>
      <c r="G1318" s="610"/>
      <c r="H1318" s="610"/>
      <c r="I1318" s="611" t="s">
        <v>175</v>
      </c>
      <c r="J1318" s="616">
        <f>3830+105+895</f>
        <v>4830</v>
      </c>
      <c r="K1318" s="616">
        <v>3830</v>
      </c>
      <c r="L1318" s="616">
        <v>3830</v>
      </c>
      <c r="M1318" s="616">
        <v>3830</v>
      </c>
      <c r="N1318" s="614">
        <v>3830</v>
      </c>
      <c r="O1318" s="648"/>
      <c r="P1318" s="648"/>
      <c r="R1318" s="626"/>
      <c r="T1318" s="633"/>
      <c r="U1318" s="634"/>
    </row>
    <row r="1319" spans="2:21" ht="20.149999999999999" customHeight="1">
      <c r="B1319" s="606" t="s">
        <v>2183</v>
      </c>
      <c r="C1319" s="654">
        <v>82</v>
      </c>
      <c r="D1319" s="607">
        <v>872</v>
      </c>
      <c r="E1319" s="608">
        <v>829910</v>
      </c>
      <c r="F1319" s="609" t="s">
        <v>1223</v>
      </c>
      <c r="G1319" s="610"/>
      <c r="H1319" s="610"/>
      <c r="I1319" s="611" t="s">
        <v>175</v>
      </c>
      <c r="J1319" s="616">
        <v>120</v>
      </c>
      <c r="K1319" s="613">
        <v>120</v>
      </c>
      <c r="L1319" s="616">
        <v>120</v>
      </c>
      <c r="M1319" s="616">
        <v>120</v>
      </c>
      <c r="N1319" s="614">
        <v>120.84</v>
      </c>
      <c r="O1319" s="648"/>
      <c r="P1319" s="648"/>
      <c r="R1319" s="626"/>
      <c r="T1319" s="633"/>
      <c r="U1319" s="634"/>
    </row>
    <row r="1320" spans="2:21" ht="28">
      <c r="B1320" s="606" t="s">
        <v>2183</v>
      </c>
      <c r="C1320" s="654">
        <v>82</v>
      </c>
      <c r="D1320" s="607">
        <v>873</v>
      </c>
      <c r="E1320" s="608">
        <v>829910</v>
      </c>
      <c r="F1320" s="609" t="s">
        <v>2182</v>
      </c>
      <c r="G1320" s="610"/>
      <c r="H1320" s="610"/>
      <c r="I1320" s="611" t="s">
        <v>175</v>
      </c>
      <c r="J1320" s="616">
        <v>1100</v>
      </c>
      <c r="K1320" s="613">
        <v>0</v>
      </c>
      <c r="L1320" s="616">
        <v>0</v>
      </c>
      <c r="M1320" s="616">
        <v>0</v>
      </c>
      <c r="N1320" s="614">
        <v>1600</v>
      </c>
      <c r="O1320" s="648"/>
      <c r="P1320" s="648"/>
      <c r="R1320" s="626"/>
      <c r="T1320" s="633"/>
      <c r="U1320" s="634"/>
    </row>
    <row r="1321" spans="2:21" ht="20.149999999999999" customHeight="1">
      <c r="B1321" s="606" t="s">
        <v>2183</v>
      </c>
      <c r="C1321" s="654">
        <v>82</v>
      </c>
      <c r="D1321" s="607">
        <v>874</v>
      </c>
      <c r="E1321" s="608">
        <v>829910</v>
      </c>
      <c r="F1321" s="609" t="s">
        <v>1887</v>
      </c>
      <c r="G1321" s="610"/>
      <c r="H1321" s="610"/>
      <c r="I1321" s="611" t="s">
        <v>175</v>
      </c>
      <c r="J1321" s="616">
        <v>2700</v>
      </c>
      <c r="K1321" s="613">
        <v>1898</v>
      </c>
      <c r="L1321" s="616">
        <v>2700</v>
      </c>
      <c r="M1321" s="616">
        <v>2700</v>
      </c>
      <c r="N1321" s="614">
        <v>2700</v>
      </c>
      <c r="O1321" s="648"/>
      <c r="P1321" s="648"/>
      <c r="R1321" s="626"/>
      <c r="T1321" s="633"/>
      <c r="U1321" s="634"/>
    </row>
    <row r="1322" spans="2:21" ht="20.149999999999999" customHeight="1">
      <c r="B1322" s="606" t="s">
        <v>2183</v>
      </c>
      <c r="C1322" s="654">
        <v>82</v>
      </c>
      <c r="D1322" s="607">
        <v>875</v>
      </c>
      <c r="E1322" s="608">
        <v>829910</v>
      </c>
      <c r="F1322" s="609" t="s">
        <v>1300</v>
      </c>
      <c r="G1322" s="610"/>
      <c r="H1322" s="610"/>
      <c r="I1322" s="611" t="s">
        <v>175</v>
      </c>
      <c r="J1322" s="616">
        <v>90</v>
      </c>
      <c r="K1322" s="613">
        <v>90</v>
      </c>
      <c r="L1322" s="616">
        <v>90</v>
      </c>
      <c r="M1322" s="616">
        <v>90</v>
      </c>
      <c r="N1322" s="614">
        <v>90</v>
      </c>
      <c r="O1322" s="648"/>
      <c r="P1322" s="648"/>
      <c r="R1322" s="626"/>
      <c r="T1322" s="633"/>
      <c r="U1322" s="634"/>
    </row>
    <row r="1323" spans="2:21" ht="28">
      <c r="B1323" s="606" t="s">
        <v>2183</v>
      </c>
      <c r="C1323" s="654">
        <v>82</v>
      </c>
      <c r="D1323" s="607">
        <v>876</v>
      </c>
      <c r="E1323" s="608">
        <v>829910</v>
      </c>
      <c r="F1323" s="609" t="s">
        <v>2211</v>
      </c>
      <c r="G1323" s="610"/>
      <c r="H1323" s="610"/>
      <c r="I1323" s="611" t="s">
        <v>175</v>
      </c>
      <c r="J1323" s="616">
        <v>75</v>
      </c>
      <c r="K1323" s="613">
        <v>0</v>
      </c>
      <c r="L1323" s="616">
        <v>0</v>
      </c>
      <c r="M1323" s="616">
        <v>0</v>
      </c>
      <c r="N1323" s="614">
        <v>0</v>
      </c>
      <c r="O1323" s="648"/>
      <c r="P1323" s="648"/>
      <c r="R1323" s="626"/>
      <c r="T1323" s="633"/>
      <c r="U1323" s="634"/>
    </row>
    <row r="1324" spans="2:21" ht="20.149999999999999" customHeight="1">
      <c r="B1324" s="747"/>
      <c r="C1324" s="656"/>
      <c r="D1324" s="618"/>
      <c r="E1324" s="619" t="s">
        <v>1175</v>
      </c>
      <c r="F1324" s="620" t="s">
        <v>2288</v>
      </c>
      <c r="G1324" s="716">
        <f>SUM(G1315:G1323)</f>
        <v>0</v>
      </c>
      <c r="H1324" s="716">
        <f>SUM(H1315:H1323)</f>
        <v>0</v>
      </c>
      <c r="I1324" s="622"/>
      <c r="J1324" s="623">
        <f>SUM(J1315:J1323)</f>
        <v>9027</v>
      </c>
      <c r="K1324" s="624">
        <f>SUM(K1315:K1323)</f>
        <v>6084</v>
      </c>
      <c r="L1324" s="623">
        <f>SUM(L1315:L1323)</f>
        <v>6913</v>
      </c>
      <c r="M1324" s="623">
        <f>SUM(M1315:M1323)</f>
        <v>6923</v>
      </c>
      <c r="N1324" s="625">
        <f>SUM(N1315:N1323)</f>
        <v>8498.9061199999996</v>
      </c>
      <c r="O1324" s="648"/>
      <c r="P1324" s="648"/>
      <c r="R1324" s="626"/>
      <c r="T1324" s="633"/>
      <c r="U1324" s="632"/>
    </row>
    <row r="1325" spans="2:21" ht="20.149999999999999" customHeight="1">
      <c r="B1325" s="747"/>
      <c r="C1325" s="656"/>
      <c r="D1325" s="618"/>
      <c r="E1325" s="619" t="s">
        <v>1016</v>
      </c>
      <c r="F1325" s="620" t="s">
        <v>1017</v>
      </c>
      <c r="G1325" s="621">
        <f>SUMIF($E$1218:$E$1324,"*.",G1218:G1324)</f>
        <v>38.93</v>
      </c>
      <c r="H1325" s="621">
        <f>SUMIF($E$1218:$E$1324,"*.",H1218:H1324)</f>
        <v>36.897750000000002</v>
      </c>
      <c r="I1325" s="622"/>
      <c r="J1325" s="623">
        <f>SUMIF($E$1218:$E$1324,"*.",J1218:J1324)</f>
        <v>33499</v>
      </c>
      <c r="K1325" s="624">
        <f>SUMIF($E$1218:$E$1324,"*.",K1218:K1324)</f>
        <v>29859</v>
      </c>
      <c r="L1325" s="623">
        <f>SUMIF($E$1218:$E$1324,"*.",L1218:L1324)</f>
        <v>32407</v>
      </c>
      <c r="M1325" s="623">
        <f>SUMIF($E$1218:$E$1324,"*.",M1218:M1324)</f>
        <v>33525</v>
      </c>
      <c r="N1325" s="625">
        <f>SUMIF($E$1218:$E$1324,"*.",N1218:N1324)</f>
        <v>34987.601139999999</v>
      </c>
      <c r="O1325" s="648"/>
      <c r="P1325" s="648"/>
      <c r="R1325" s="626"/>
      <c r="T1325" s="633"/>
      <c r="U1325" s="632"/>
    </row>
    <row r="1326" spans="2:21" ht="20.149999999999999" customHeight="1">
      <c r="B1326" s="617"/>
      <c r="C1326" s="656"/>
      <c r="D1326" s="618"/>
      <c r="E1326" s="619" t="s">
        <v>25</v>
      </c>
      <c r="F1326" s="620" t="s">
        <v>317</v>
      </c>
      <c r="G1326" s="621">
        <f>G1190+G1217+G1325</f>
        <v>92.700000000000017</v>
      </c>
      <c r="H1326" s="621">
        <f>H1190+H1217+H1325</f>
        <v>85.617233333333331</v>
      </c>
      <c r="I1326" s="622"/>
      <c r="J1326" s="623">
        <f>J1190+J1217+J1325</f>
        <v>78593</v>
      </c>
      <c r="K1326" s="624">
        <f>K1190+K1217+K1325</f>
        <v>71729</v>
      </c>
      <c r="L1326" s="623">
        <f>L1190+L1217+L1325</f>
        <v>76706</v>
      </c>
      <c r="M1326" s="623">
        <f>M1190+M1217+M1325</f>
        <v>80625</v>
      </c>
      <c r="N1326" s="625">
        <f>N1190+N1217+N1325</f>
        <v>79823.807119999998</v>
      </c>
      <c r="O1326" s="648"/>
      <c r="P1326" s="648"/>
      <c r="R1326" s="626"/>
      <c r="T1326" s="633"/>
      <c r="U1326" s="632"/>
    </row>
    <row r="1327" spans="2:21" ht="19.149999999999999" customHeight="1">
      <c r="B1327" s="704"/>
      <c r="C1327" s="684"/>
      <c r="D1327" s="705"/>
      <c r="E1327" s="695" t="s">
        <v>318</v>
      </c>
      <c r="F1327" s="687" t="s">
        <v>529</v>
      </c>
      <c r="G1327" s="706"/>
      <c r="H1327" s="706"/>
      <c r="I1327" s="707"/>
      <c r="J1327" s="690"/>
      <c r="K1327" s="693"/>
      <c r="L1327" s="690"/>
      <c r="M1327" s="690"/>
      <c r="N1327" s="708"/>
      <c r="O1327" s="648"/>
      <c r="P1327" s="648"/>
      <c r="R1327" s="626"/>
      <c r="T1327" s="633"/>
      <c r="U1327" s="632"/>
    </row>
    <row r="1328" spans="2:21" ht="19.149999999999999" customHeight="1">
      <c r="B1328" s="704"/>
      <c r="C1328" s="684"/>
      <c r="D1328" s="705"/>
      <c r="E1328" s="695" t="s">
        <v>319</v>
      </c>
      <c r="F1328" s="687" t="s">
        <v>696</v>
      </c>
      <c r="G1328" s="706"/>
      <c r="H1328" s="706"/>
      <c r="I1328" s="707"/>
      <c r="J1328" s="690"/>
      <c r="K1328" s="693"/>
      <c r="L1328" s="690"/>
      <c r="M1328" s="690"/>
      <c r="N1328" s="708"/>
      <c r="O1328" s="648"/>
      <c r="P1328" s="648"/>
      <c r="R1328" s="626"/>
      <c r="T1328" s="633"/>
      <c r="U1328" s="632"/>
    </row>
    <row r="1329" spans="2:26" ht="14">
      <c r="B1329" s="606" t="s">
        <v>696</v>
      </c>
      <c r="C1329" s="654">
        <v>81</v>
      </c>
      <c r="D1329" s="607">
        <v>100</v>
      </c>
      <c r="E1329" s="608">
        <v>831000</v>
      </c>
      <c r="F1329" s="609" t="s">
        <v>1058</v>
      </c>
      <c r="G1329" s="610">
        <v>4.8499999999999996</v>
      </c>
      <c r="H1329" s="610">
        <v>6.0166666666666666</v>
      </c>
      <c r="I1329" s="611" t="s">
        <v>669</v>
      </c>
      <c r="J1329" s="616">
        <f>1240-165</f>
        <v>1075</v>
      </c>
      <c r="K1329" s="613">
        <v>1227</v>
      </c>
      <c r="L1329" s="616">
        <v>1153</v>
      </c>
      <c r="M1329" s="616">
        <v>1153</v>
      </c>
      <c r="N1329" s="614">
        <v>986.26614000000006</v>
      </c>
      <c r="O1329" s="648"/>
      <c r="P1329" s="648"/>
      <c r="R1329" s="626"/>
      <c r="T1329" s="633"/>
      <c r="U1329" s="634"/>
    </row>
    <row r="1330" spans="2:26" ht="19.149999999999999" customHeight="1">
      <c r="B1330" s="606" t="s">
        <v>696</v>
      </c>
      <c r="C1330" s="654">
        <v>10</v>
      </c>
      <c r="D1330" s="607">
        <v>540</v>
      </c>
      <c r="E1330" s="608">
        <v>831000</v>
      </c>
      <c r="F1330" s="609" t="s">
        <v>1649</v>
      </c>
      <c r="G1330" s="610"/>
      <c r="H1330" s="610"/>
      <c r="I1330" s="611" t="s">
        <v>175</v>
      </c>
      <c r="J1330" s="616">
        <v>1</v>
      </c>
      <c r="K1330" s="613">
        <v>1</v>
      </c>
      <c r="L1330" s="616">
        <v>1</v>
      </c>
      <c r="M1330" s="616">
        <v>1</v>
      </c>
      <c r="N1330" s="614">
        <v>0.37001000000000001</v>
      </c>
      <c r="O1330" s="648"/>
      <c r="P1330" s="648"/>
      <c r="R1330" s="626"/>
      <c r="T1330" s="633"/>
      <c r="U1330" s="634"/>
    </row>
    <row r="1331" spans="2:26" ht="19.149999999999999" customHeight="1">
      <c r="B1331" s="606" t="s">
        <v>696</v>
      </c>
      <c r="C1331" s="654">
        <v>12</v>
      </c>
      <c r="D1331" s="607">
        <v>550</v>
      </c>
      <c r="E1331" s="608">
        <v>831000</v>
      </c>
      <c r="F1331" s="609" t="s">
        <v>470</v>
      </c>
      <c r="G1331" s="610"/>
      <c r="H1331" s="610"/>
      <c r="I1331" s="611" t="s">
        <v>44</v>
      </c>
      <c r="J1331" s="616">
        <v>68</v>
      </c>
      <c r="K1331" s="613">
        <v>68</v>
      </c>
      <c r="L1331" s="616">
        <v>68</v>
      </c>
      <c r="M1331" s="616">
        <v>68</v>
      </c>
      <c r="N1331" s="614">
        <v>65.929100000000005</v>
      </c>
      <c r="O1331" s="648"/>
      <c r="P1331" s="648"/>
      <c r="R1331" s="626"/>
      <c r="T1331" s="633"/>
      <c r="U1331" s="634"/>
    </row>
    <row r="1332" spans="2:26" ht="28">
      <c r="B1332" s="606" t="s">
        <v>696</v>
      </c>
      <c r="C1332" s="654">
        <v>81</v>
      </c>
      <c r="D1332" s="607">
        <v>780</v>
      </c>
      <c r="E1332" s="608">
        <v>831000</v>
      </c>
      <c r="F1332" s="609" t="s">
        <v>1626</v>
      </c>
      <c r="G1332" s="610"/>
      <c r="H1332" s="610"/>
      <c r="I1332" s="611" t="s">
        <v>44</v>
      </c>
      <c r="J1332" s="616">
        <f>379+20</f>
        <v>399</v>
      </c>
      <c r="K1332" s="613">
        <v>399</v>
      </c>
      <c r="L1332" s="616">
        <v>399</v>
      </c>
      <c r="M1332" s="616">
        <v>399</v>
      </c>
      <c r="N1332" s="614">
        <v>371.93107000000003</v>
      </c>
      <c r="O1332" s="648"/>
      <c r="P1332" s="648"/>
      <c r="R1332" s="626"/>
      <c r="T1332" s="633"/>
      <c r="U1332" s="634"/>
    </row>
    <row r="1333" spans="2:26" ht="19.149999999999999" customHeight="1">
      <c r="B1333" s="606" t="s">
        <v>696</v>
      </c>
      <c r="C1333" s="654">
        <v>81</v>
      </c>
      <c r="D1333" s="607">
        <v>781</v>
      </c>
      <c r="E1333" s="608">
        <v>831000</v>
      </c>
      <c r="F1333" s="609" t="s">
        <v>633</v>
      </c>
      <c r="G1333" s="610"/>
      <c r="H1333" s="610"/>
      <c r="I1333" s="611" t="s">
        <v>175</v>
      </c>
      <c r="J1333" s="616">
        <v>90</v>
      </c>
      <c r="K1333" s="613">
        <v>90</v>
      </c>
      <c r="L1333" s="616">
        <v>90</v>
      </c>
      <c r="M1333" s="616">
        <v>90</v>
      </c>
      <c r="N1333" s="614">
        <v>68.421600000000012</v>
      </c>
      <c r="O1333" s="648"/>
      <c r="P1333" s="648"/>
      <c r="R1333" s="626"/>
      <c r="T1333" s="633"/>
      <c r="U1333" s="634"/>
    </row>
    <row r="1334" spans="2:26" ht="19.149999999999999" customHeight="1">
      <c r="B1334" s="606" t="s">
        <v>696</v>
      </c>
      <c r="C1334" s="654">
        <v>81</v>
      </c>
      <c r="D1334" s="607">
        <v>783</v>
      </c>
      <c r="E1334" s="608">
        <v>831000</v>
      </c>
      <c r="F1334" s="609" t="s">
        <v>1917</v>
      </c>
      <c r="G1334" s="610"/>
      <c r="H1334" s="610"/>
      <c r="I1334" s="611" t="s">
        <v>44</v>
      </c>
      <c r="J1334" s="616">
        <v>220</v>
      </c>
      <c r="K1334" s="613">
        <v>220</v>
      </c>
      <c r="L1334" s="616">
        <v>220</v>
      </c>
      <c r="M1334" s="616">
        <v>220</v>
      </c>
      <c r="N1334" s="614">
        <v>209.61075</v>
      </c>
      <c r="O1334" s="648"/>
      <c r="P1334" s="648"/>
      <c r="R1334" s="626"/>
      <c r="T1334" s="633"/>
      <c r="U1334" s="634"/>
    </row>
    <row r="1335" spans="2:26" ht="19.149999999999999" customHeight="1">
      <c r="B1335" s="606" t="s">
        <v>696</v>
      </c>
      <c r="C1335" s="655">
        <v>7</v>
      </c>
      <c r="D1335" s="615">
        <v>820</v>
      </c>
      <c r="E1335" s="608">
        <v>831000</v>
      </c>
      <c r="F1335" s="748" t="s">
        <v>1888</v>
      </c>
      <c r="G1335" s="610"/>
      <c r="H1335" s="610"/>
      <c r="I1335" s="611" t="s">
        <v>175</v>
      </c>
      <c r="J1335" s="616">
        <v>196</v>
      </c>
      <c r="K1335" s="613">
        <v>196</v>
      </c>
      <c r="L1335" s="616">
        <v>196</v>
      </c>
      <c r="M1335" s="616">
        <v>230</v>
      </c>
      <c r="N1335" s="614">
        <v>221.75200000000001</v>
      </c>
      <c r="O1335" s="648"/>
      <c r="P1335" s="648"/>
      <c r="R1335" s="626"/>
      <c r="T1335" s="633"/>
      <c r="U1335" s="634"/>
      <c r="Z1335" s="216"/>
    </row>
    <row r="1336" spans="2:26" ht="19.149999999999999" customHeight="1">
      <c r="B1336" s="747"/>
      <c r="C1336" s="656"/>
      <c r="D1336" s="618"/>
      <c r="E1336" s="619" t="s">
        <v>319</v>
      </c>
      <c r="F1336" s="620" t="s">
        <v>612</v>
      </c>
      <c r="G1336" s="621">
        <f>SUM(G1329:G1335)</f>
        <v>4.8499999999999996</v>
      </c>
      <c r="H1336" s="621">
        <f>SUM(H1329:H1335)</f>
        <v>6.0166666666666666</v>
      </c>
      <c r="I1336" s="622"/>
      <c r="J1336" s="623">
        <f>SUM(J1329:J1335)</f>
        <v>2049</v>
      </c>
      <c r="K1336" s="624">
        <f>SUM(K1329:K1335)</f>
        <v>2201</v>
      </c>
      <c r="L1336" s="623">
        <f>SUM(L1329:L1335)</f>
        <v>2127</v>
      </c>
      <c r="M1336" s="623">
        <f>SUM(M1329:M1335)</f>
        <v>2161</v>
      </c>
      <c r="N1336" s="625">
        <f>SUM(N1329:N1335)</f>
        <v>1924.2806700000003</v>
      </c>
      <c r="O1336" s="648"/>
      <c r="P1336" s="648"/>
      <c r="R1336" s="626"/>
      <c r="T1336" s="633"/>
      <c r="U1336" s="632"/>
    </row>
    <row r="1337" spans="2:26" ht="19.149999999999999" customHeight="1">
      <c r="B1337" s="704"/>
      <c r="C1337" s="684"/>
      <c r="D1337" s="705"/>
      <c r="E1337" s="695" t="s">
        <v>574</v>
      </c>
      <c r="F1337" s="687" t="s">
        <v>575</v>
      </c>
      <c r="G1337" s="706"/>
      <c r="H1337" s="706"/>
      <c r="I1337" s="707"/>
      <c r="J1337" s="690"/>
      <c r="K1337" s="693"/>
      <c r="L1337" s="690"/>
      <c r="M1337" s="690"/>
      <c r="N1337" s="708"/>
      <c r="O1337" s="648"/>
      <c r="P1337" s="648"/>
      <c r="R1337" s="626"/>
      <c r="T1337" s="633"/>
      <c r="U1337" s="632"/>
    </row>
    <row r="1338" spans="2:26" ht="19.149999999999999" customHeight="1">
      <c r="B1338" s="606" t="s">
        <v>575</v>
      </c>
      <c r="C1338" s="654">
        <v>81</v>
      </c>
      <c r="D1338" s="607">
        <v>100</v>
      </c>
      <c r="E1338" s="608">
        <v>832200</v>
      </c>
      <c r="F1338" s="609" t="s">
        <v>1861</v>
      </c>
      <c r="G1338" s="610">
        <v>0.55000000000000004</v>
      </c>
      <c r="H1338" s="610">
        <v>0.51514999999999989</v>
      </c>
      <c r="I1338" s="611" t="s">
        <v>669</v>
      </c>
      <c r="J1338" s="616">
        <v>93</v>
      </c>
      <c r="K1338" s="613">
        <v>87</v>
      </c>
      <c r="L1338" s="616">
        <v>91</v>
      </c>
      <c r="M1338" s="616">
        <v>91</v>
      </c>
      <c r="N1338" s="614">
        <v>78.142440000000008</v>
      </c>
      <c r="O1338" s="648"/>
      <c r="P1338" s="648"/>
      <c r="R1338" s="626"/>
      <c r="T1338" s="633"/>
      <c r="U1338" s="634"/>
    </row>
    <row r="1339" spans="2:26" ht="19.149999999999999" customHeight="1">
      <c r="B1339" s="606" t="s">
        <v>575</v>
      </c>
      <c r="C1339" s="654">
        <v>10</v>
      </c>
      <c r="D1339" s="607">
        <v>540</v>
      </c>
      <c r="E1339" s="608">
        <v>832200</v>
      </c>
      <c r="F1339" s="609" t="s">
        <v>1649</v>
      </c>
      <c r="G1339" s="610"/>
      <c r="H1339" s="610"/>
      <c r="I1339" s="611" t="s">
        <v>175</v>
      </c>
      <c r="J1339" s="616">
        <v>3</v>
      </c>
      <c r="K1339" s="613">
        <v>3</v>
      </c>
      <c r="L1339" s="616">
        <v>5</v>
      </c>
      <c r="M1339" s="616">
        <v>3</v>
      </c>
      <c r="N1339" s="614">
        <v>2.94815</v>
      </c>
      <c r="O1339" s="648"/>
      <c r="P1339" s="648"/>
      <c r="R1339" s="626"/>
      <c r="T1339" s="633"/>
      <c r="U1339" s="634"/>
    </row>
    <row r="1340" spans="2:26" ht="19.149999999999999" customHeight="1">
      <c r="B1340" s="606" t="s">
        <v>575</v>
      </c>
      <c r="C1340" s="654">
        <v>5</v>
      </c>
      <c r="D1340" s="607">
        <v>750</v>
      </c>
      <c r="E1340" s="608">
        <v>832200</v>
      </c>
      <c r="F1340" s="609" t="s">
        <v>361</v>
      </c>
      <c r="G1340" s="610"/>
      <c r="H1340" s="610"/>
      <c r="I1340" s="611" t="s">
        <v>175</v>
      </c>
      <c r="J1340" s="616">
        <v>15</v>
      </c>
      <c r="K1340" s="613">
        <v>15</v>
      </c>
      <c r="L1340" s="616">
        <v>15</v>
      </c>
      <c r="M1340" s="616">
        <v>15</v>
      </c>
      <c r="N1340" s="614">
        <v>14.23136</v>
      </c>
      <c r="O1340" s="648"/>
      <c r="P1340" s="648"/>
      <c r="R1340" s="626"/>
      <c r="T1340" s="633"/>
      <c r="U1340" s="634"/>
    </row>
    <row r="1341" spans="2:26" ht="19.149999999999999" customHeight="1">
      <c r="B1341" s="606" t="s">
        <v>575</v>
      </c>
      <c r="C1341" s="655">
        <v>81</v>
      </c>
      <c r="D1341" s="615">
        <v>780</v>
      </c>
      <c r="E1341" s="608">
        <v>832200</v>
      </c>
      <c r="F1341" s="609" t="s">
        <v>1348</v>
      </c>
      <c r="G1341" s="610"/>
      <c r="H1341" s="610"/>
      <c r="I1341" s="611" t="s">
        <v>44</v>
      </c>
      <c r="J1341" s="616">
        <f>56+6</f>
        <v>62</v>
      </c>
      <c r="K1341" s="613">
        <v>59</v>
      </c>
      <c r="L1341" s="616">
        <v>59</v>
      </c>
      <c r="M1341" s="616">
        <v>62</v>
      </c>
      <c r="N1341" s="614">
        <v>37.200000000000003</v>
      </c>
      <c r="O1341" s="648"/>
      <c r="P1341" s="648"/>
      <c r="R1341" s="626"/>
      <c r="T1341" s="633"/>
      <c r="U1341" s="634"/>
    </row>
    <row r="1342" spans="2:26" ht="19.149999999999999" customHeight="1">
      <c r="B1342" s="747"/>
      <c r="C1342" s="656"/>
      <c r="D1342" s="618"/>
      <c r="E1342" s="619" t="s">
        <v>574</v>
      </c>
      <c r="F1342" s="620" t="s">
        <v>576</v>
      </c>
      <c r="G1342" s="621">
        <f>SUM(G1338:G1341)</f>
        <v>0.55000000000000004</v>
      </c>
      <c r="H1342" s="621">
        <f>SUM(H1338:H1341)</f>
        <v>0.51514999999999989</v>
      </c>
      <c r="I1342" s="622"/>
      <c r="J1342" s="623">
        <f>SUM(J1338:J1341)</f>
        <v>173</v>
      </c>
      <c r="K1342" s="624">
        <f>SUM(K1338:K1341)</f>
        <v>164</v>
      </c>
      <c r="L1342" s="623">
        <f>SUM(L1338:L1341)</f>
        <v>170</v>
      </c>
      <c r="M1342" s="623">
        <f>SUM(M1338:M1341)</f>
        <v>171</v>
      </c>
      <c r="N1342" s="625">
        <f>SUM(N1338:N1341)</f>
        <v>132.52195</v>
      </c>
      <c r="O1342" s="648"/>
      <c r="P1342" s="648"/>
      <c r="R1342" s="626"/>
      <c r="T1342" s="633"/>
      <c r="U1342" s="632"/>
    </row>
    <row r="1343" spans="2:26" ht="19.149999999999999" customHeight="1">
      <c r="B1343" s="704"/>
      <c r="C1343" s="684"/>
      <c r="D1343" s="705"/>
      <c r="E1343" s="695" t="s">
        <v>471</v>
      </c>
      <c r="F1343" s="687" t="s">
        <v>1668</v>
      </c>
      <c r="G1343" s="706"/>
      <c r="H1343" s="706"/>
      <c r="I1343" s="707"/>
      <c r="J1343" s="690"/>
      <c r="K1343" s="693"/>
      <c r="L1343" s="690"/>
      <c r="M1343" s="690"/>
      <c r="N1343" s="708"/>
      <c r="O1343" s="648"/>
      <c r="P1343" s="648"/>
      <c r="R1343" s="626"/>
      <c r="T1343" s="633"/>
      <c r="U1343" s="632"/>
    </row>
    <row r="1344" spans="2:26" ht="19.149999999999999" customHeight="1">
      <c r="B1344" s="606" t="s">
        <v>1668</v>
      </c>
      <c r="C1344" s="654">
        <v>81</v>
      </c>
      <c r="D1344" s="607">
        <v>100</v>
      </c>
      <c r="E1344" s="608">
        <v>832500</v>
      </c>
      <c r="F1344" s="609" t="s">
        <v>848</v>
      </c>
      <c r="G1344" s="610">
        <v>1.5</v>
      </c>
      <c r="H1344" s="610">
        <v>0.5</v>
      </c>
      <c r="I1344" s="611" t="s">
        <v>669</v>
      </c>
      <c r="J1344" s="616">
        <f>100+165</f>
        <v>265</v>
      </c>
      <c r="K1344" s="613">
        <v>97</v>
      </c>
      <c r="L1344" s="616">
        <v>98</v>
      </c>
      <c r="M1344" s="616">
        <v>98</v>
      </c>
      <c r="N1344" s="614">
        <v>103.83832000000001</v>
      </c>
      <c r="O1344" s="648"/>
      <c r="P1344" s="648"/>
      <c r="R1344" s="626"/>
      <c r="T1344" s="633"/>
      <c r="U1344" s="634"/>
    </row>
    <row r="1345" spans="2:26" ht="19.149999999999999" customHeight="1">
      <c r="B1345" s="606" t="s">
        <v>1668</v>
      </c>
      <c r="C1345" s="654">
        <v>81</v>
      </c>
      <c r="D1345" s="607">
        <v>430</v>
      </c>
      <c r="E1345" s="608">
        <v>832500</v>
      </c>
      <c r="F1345" s="609" t="s">
        <v>192</v>
      </c>
      <c r="G1345" s="610"/>
      <c r="H1345" s="610"/>
      <c r="I1345" s="611" t="s">
        <v>175</v>
      </c>
      <c r="J1345" s="616">
        <v>27</v>
      </c>
      <c r="K1345" s="613">
        <v>27</v>
      </c>
      <c r="L1345" s="616">
        <v>27</v>
      </c>
      <c r="M1345" s="616">
        <v>27</v>
      </c>
      <c r="N1345" s="614">
        <v>9.6504799999999999</v>
      </c>
      <c r="O1345" s="648"/>
      <c r="P1345" s="648"/>
      <c r="R1345" s="626"/>
      <c r="T1345" s="633"/>
      <c r="U1345" s="634"/>
    </row>
    <row r="1346" spans="2:26" ht="19.149999999999999" customHeight="1">
      <c r="B1346" s="606" t="s">
        <v>1668</v>
      </c>
      <c r="C1346" s="655">
        <v>5</v>
      </c>
      <c r="D1346" s="615">
        <v>750</v>
      </c>
      <c r="E1346" s="608">
        <v>832500</v>
      </c>
      <c r="F1346" s="609" t="s">
        <v>2312</v>
      </c>
      <c r="G1346" s="610"/>
      <c r="H1346" s="610"/>
      <c r="I1346" s="611" t="s">
        <v>175</v>
      </c>
      <c r="J1346" s="616">
        <v>20</v>
      </c>
      <c r="K1346" s="613">
        <v>0</v>
      </c>
      <c r="L1346" s="616">
        <v>0</v>
      </c>
      <c r="M1346" s="616">
        <v>0</v>
      </c>
      <c r="N1346" s="614">
        <v>0</v>
      </c>
      <c r="O1346" s="648"/>
      <c r="P1346" s="648"/>
      <c r="R1346" s="626"/>
      <c r="T1346" s="633"/>
      <c r="U1346" s="634"/>
    </row>
    <row r="1347" spans="2:26" ht="19.149999999999999" customHeight="1">
      <c r="B1347" s="606" t="s">
        <v>1668</v>
      </c>
      <c r="C1347" s="655">
        <v>81</v>
      </c>
      <c r="D1347" s="615">
        <v>781</v>
      </c>
      <c r="E1347" s="608">
        <v>832500</v>
      </c>
      <c r="F1347" s="609" t="s">
        <v>1388</v>
      </c>
      <c r="G1347" s="610"/>
      <c r="H1347" s="610"/>
      <c r="I1347" s="611" t="s">
        <v>44</v>
      </c>
      <c r="J1347" s="616">
        <f>126+14</f>
        <v>140</v>
      </c>
      <c r="K1347" s="613">
        <v>133</v>
      </c>
      <c r="L1347" s="616">
        <v>133</v>
      </c>
      <c r="M1347" s="616">
        <v>140</v>
      </c>
      <c r="N1347" s="614">
        <v>80.671800000000005</v>
      </c>
      <c r="O1347" s="648"/>
      <c r="P1347" s="648"/>
      <c r="R1347" s="626"/>
      <c r="T1347" s="633"/>
      <c r="U1347" s="634"/>
    </row>
    <row r="1348" spans="2:26" ht="19.149999999999999" customHeight="1">
      <c r="B1348" s="747"/>
      <c r="C1348" s="656"/>
      <c r="D1348" s="618"/>
      <c r="E1348" s="619" t="s">
        <v>471</v>
      </c>
      <c r="F1348" s="620" t="s">
        <v>1669</v>
      </c>
      <c r="G1348" s="621">
        <f>SUM(G1344:G1347)</f>
        <v>1.5</v>
      </c>
      <c r="H1348" s="621">
        <f>SUM(H1344:H1347)</f>
        <v>0.5</v>
      </c>
      <c r="I1348" s="622"/>
      <c r="J1348" s="623">
        <f>SUM(J1344:J1347)</f>
        <v>452</v>
      </c>
      <c r="K1348" s="624">
        <f>SUM(K1344:K1347)</f>
        <v>257</v>
      </c>
      <c r="L1348" s="623">
        <f>SUM(L1344:L1347)</f>
        <v>258</v>
      </c>
      <c r="M1348" s="623">
        <f>SUM(M1344:M1347)</f>
        <v>265</v>
      </c>
      <c r="N1348" s="625">
        <f>SUM(N1344:N1347)</f>
        <v>194.16060000000002</v>
      </c>
      <c r="O1348" s="648"/>
      <c r="P1348" s="648"/>
      <c r="R1348" s="626"/>
      <c r="T1348" s="633"/>
      <c r="U1348" s="632"/>
    </row>
    <row r="1349" spans="2:26" ht="19.149999999999999" customHeight="1">
      <c r="B1349" s="704"/>
      <c r="C1349" s="684"/>
      <c r="D1349" s="705"/>
      <c r="E1349" s="695" t="s">
        <v>472</v>
      </c>
      <c r="F1349" s="687" t="s">
        <v>973</v>
      </c>
      <c r="G1349" s="706"/>
      <c r="H1349" s="706"/>
      <c r="I1349" s="707"/>
      <c r="J1349" s="690"/>
      <c r="K1349" s="693"/>
      <c r="L1349" s="690"/>
      <c r="M1349" s="690"/>
      <c r="N1349" s="708"/>
      <c r="O1349" s="648"/>
      <c r="P1349" s="648"/>
      <c r="R1349" s="626"/>
      <c r="T1349" s="633"/>
      <c r="U1349" s="632"/>
    </row>
    <row r="1350" spans="2:26" ht="19.149999999999999" customHeight="1">
      <c r="B1350" s="606" t="s">
        <v>973</v>
      </c>
      <c r="C1350" s="654">
        <v>7</v>
      </c>
      <c r="D1350" s="607">
        <v>830</v>
      </c>
      <c r="E1350" s="608">
        <v>836200</v>
      </c>
      <c r="F1350" s="609" t="s">
        <v>539</v>
      </c>
      <c r="G1350" s="610"/>
      <c r="H1350" s="610"/>
      <c r="I1350" s="611" t="s">
        <v>175</v>
      </c>
      <c r="J1350" s="616">
        <v>190</v>
      </c>
      <c r="K1350" s="613">
        <v>185</v>
      </c>
      <c r="L1350" s="616">
        <v>190</v>
      </c>
      <c r="M1350" s="616">
        <v>190</v>
      </c>
      <c r="N1350" s="614">
        <v>179.124</v>
      </c>
      <c r="O1350" s="648"/>
      <c r="P1350" s="648"/>
      <c r="R1350" s="626"/>
      <c r="T1350" s="633"/>
      <c r="U1350" s="634"/>
      <c r="Z1350" s="216"/>
    </row>
    <row r="1351" spans="2:26" ht="19.149999999999999" customHeight="1">
      <c r="B1351" s="617"/>
      <c r="C1351" s="656"/>
      <c r="D1351" s="618"/>
      <c r="E1351" s="619" t="s">
        <v>472</v>
      </c>
      <c r="F1351" s="620" t="s">
        <v>473</v>
      </c>
      <c r="G1351" s="621">
        <f>SUM(G1350:G1350)</f>
        <v>0</v>
      </c>
      <c r="H1351" s="621">
        <f>SUM(H1350:H1350)</f>
        <v>0</v>
      </c>
      <c r="I1351" s="622"/>
      <c r="J1351" s="623">
        <f>SUM(J1350:J1350)</f>
        <v>190</v>
      </c>
      <c r="K1351" s="624">
        <f>SUM(K1350:K1350)</f>
        <v>185</v>
      </c>
      <c r="L1351" s="623">
        <f>SUM(L1350:L1350)</f>
        <v>190</v>
      </c>
      <c r="M1351" s="623">
        <f>SUM(M1350:M1350)</f>
        <v>190</v>
      </c>
      <c r="N1351" s="625">
        <f>SUM(N1350:N1350)</f>
        <v>179.124</v>
      </c>
      <c r="O1351" s="648"/>
      <c r="P1351" s="648"/>
      <c r="R1351" s="626"/>
      <c r="T1351" s="633"/>
      <c r="U1351" s="632"/>
    </row>
    <row r="1352" spans="2:26" ht="19.149999999999999" customHeight="1">
      <c r="B1352" s="747"/>
      <c r="C1352" s="656"/>
      <c r="D1352" s="618"/>
      <c r="E1352" s="619" t="s">
        <v>318</v>
      </c>
      <c r="F1352" s="620" t="s">
        <v>1033</v>
      </c>
      <c r="G1352" s="621">
        <f>SUMIF($E$1327:$E$1351,"*.",G1327:G1351)</f>
        <v>6.8999999999999995</v>
      </c>
      <c r="H1352" s="621">
        <f>SUMIF($E$1327:$E$1351,"*.",H1327:H1351)</f>
        <v>7.0318166666666668</v>
      </c>
      <c r="I1352" s="622"/>
      <c r="J1352" s="623">
        <f>SUMIF($E$1327:$E$1351,"*.",J1327:J1351)</f>
        <v>2864</v>
      </c>
      <c r="K1352" s="624">
        <f>SUMIF($E$1327:$E$1351,"*.",K1327:K1351)</f>
        <v>2807</v>
      </c>
      <c r="L1352" s="623">
        <f>SUMIF($E$1327:$E$1351,"*.",L1327:L1351)</f>
        <v>2745</v>
      </c>
      <c r="M1352" s="623">
        <f>SUMIF($E$1327:$E$1351,"*.",M1327:M1351)</f>
        <v>2787</v>
      </c>
      <c r="N1352" s="625">
        <f>SUMIF($E$1327:$E$1351,"*.",N1327:N1351)</f>
        <v>2430.0872200000003</v>
      </c>
      <c r="O1352" s="648"/>
      <c r="P1352" s="648"/>
      <c r="R1352" s="626"/>
      <c r="T1352" s="633"/>
      <c r="U1352" s="632"/>
    </row>
    <row r="1353" spans="2:26" ht="19.149999999999999" customHeight="1">
      <c r="B1353" s="704"/>
      <c r="C1353" s="684"/>
      <c r="D1353" s="705"/>
      <c r="E1353" s="695" t="s">
        <v>1091</v>
      </c>
      <c r="F1353" s="687" t="s">
        <v>977</v>
      </c>
      <c r="G1353" s="706"/>
      <c r="H1353" s="706"/>
      <c r="I1353" s="707"/>
      <c r="J1353" s="690"/>
      <c r="K1353" s="693"/>
      <c r="L1353" s="690"/>
      <c r="M1353" s="690"/>
      <c r="N1353" s="708"/>
      <c r="O1353" s="648"/>
      <c r="P1353" s="648"/>
      <c r="R1353" s="626"/>
      <c r="T1353" s="633"/>
      <c r="U1353" s="632"/>
    </row>
    <row r="1354" spans="2:26" ht="19.149999999999999" customHeight="1">
      <c r="B1354" s="704"/>
      <c r="C1354" s="684"/>
      <c r="D1354" s="705"/>
      <c r="E1354" s="695" t="s">
        <v>1092</v>
      </c>
      <c r="F1354" s="687" t="s">
        <v>85</v>
      </c>
      <c r="G1354" s="706"/>
      <c r="H1354" s="706"/>
      <c r="I1354" s="707"/>
      <c r="J1354" s="690"/>
      <c r="K1354" s="693"/>
      <c r="L1354" s="690"/>
      <c r="M1354" s="690"/>
      <c r="N1354" s="708"/>
      <c r="O1354" s="648"/>
      <c r="P1354" s="648"/>
      <c r="R1354" s="626"/>
      <c r="T1354" s="633"/>
      <c r="U1354" s="632"/>
    </row>
    <row r="1355" spans="2:26" ht="19.149999999999999" customHeight="1">
      <c r="B1355" s="829" t="s">
        <v>1093</v>
      </c>
      <c r="C1355" s="654">
        <v>84</v>
      </c>
      <c r="D1355" s="607">
        <v>100</v>
      </c>
      <c r="E1355" s="608">
        <v>841001</v>
      </c>
      <c r="F1355" s="748" t="s">
        <v>1441</v>
      </c>
      <c r="G1355" s="610">
        <v>71.400000000000006</v>
      </c>
      <c r="H1355" s="610">
        <v>64.605983333333342</v>
      </c>
      <c r="I1355" s="611" t="s">
        <v>669</v>
      </c>
      <c r="J1355" s="616">
        <f>14870-70</f>
        <v>14800</v>
      </c>
      <c r="K1355" s="613">
        <v>13960</v>
      </c>
      <c r="L1355" s="616">
        <v>14459</v>
      </c>
      <c r="M1355" s="616">
        <v>14385</v>
      </c>
      <c r="N1355" s="614">
        <v>12966.1314</v>
      </c>
      <c r="O1355" s="648"/>
      <c r="P1355" s="648"/>
      <c r="R1355" s="626"/>
      <c r="T1355" s="633"/>
      <c r="U1355" s="634"/>
    </row>
    <row r="1356" spans="2:26" ht="19.149999999999999" customHeight="1">
      <c r="B1356" s="829" t="s">
        <v>1093</v>
      </c>
      <c r="C1356" s="654">
        <v>84</v>
      </c>
      <c r="D1356" s="607">
        <v>102</v>
      </c>
      <c r="E1356" s="608">
        <v>841001</v>
      </c>
      <c r="F1356" s="748" t="s">
        <v>2227</v>
      </c>
      <c r="G1356" s="610">
        <v>0</v>
      </c>
      <c r="H1356" s="610">
        <v>0</v>
      </c>
      <c r="I1356" s="611" t="s">
        <v>669</v>
      </c>
      <c r="J1356" s="616">
        <v>214</v>
      </c>
      <c r="K1356" s="613">
        <v>214</v>
      </c>
      <c r="L1356" s="616">
        <v>214</v>
      </c>
      <c r="M1356" s="616">
        <v>214</v>
      </c>
      <c r="N1356" s="614">
        <v>214.10101</v>
      </c>
      <c r="O1356" s="648"/>
      <c r="P1356" s="648"/>
      <c r="R1356" s="626"/>
      <c r="T1356" s="633"/>
      <c r="U1356" s="634"/>
    </row>
    <row r="1357" spans="2:26" ht="19.149999999999999" customHeight="1">
      <c r="B1357" s="829" t="s">
        <v>1093</v>
      </c>
      <c r="C1357" s="654">
        <v>2</v>
      </c>
      <c r="D1357" s="607">
        <v>410</v>
      </c>
      <c r="E1357" s="608">
        <v>841004</v>
      </c>
      <c r="F1357" s="748" t="s">
        <v>1531</v>
      </c>
      <c r="G1357" s="610"/>
      <c r="H1357" s="610"/>
      <c r="I1357" s="611" t="s">
        <v>175</v>
      </c>
      <c r="J1357" s="616">
        <v>800</v>
      </c>
      <c r="K1357" s="613">
        <v>773</v>
      </c>
      <c r="L1357" s="616">
        <v>773</v>
      </c>
      <c r="M1357" s="616">
        <f>685+86</f>
        <v>771</v>
      </c>
      <c r="N1357" s="614">
        <v>637.38900000000001</v>
      </c>
      <c r="O1357" s="648"/>
      <c r="P1357" s="648"/>
      <c r="R1357" s="626"/>
      <c r="T1357" s="633"/>
      <c r="U1357" s="634"/>
    </row>
    <row r="1358" spans="2:26" ht="19.149999999999999" customHeight="1">
      <c r="B1358" s="829" t="s">
        <v>1093</v>
      </c>
      <c r="C1358" s="654">
        <v>84</v>
      </c>
      <c r="D1358" s="607">
        <v>430</v>
      </c>
      <c r="E1358" s="608">
        <v>841004</v>
      </c>
      <c r="F1358" s="748" t="s">
        <v>446</v>
      </c>
      <c r="G1358" s="610"/>
      <c r="H1358" s="610"/>
      <c r="I1358" s="611" t="s">
        <v>175</v>
      </c>
      <c r="J1358" s="616">
        <v>155</v>
      </c>
      <c r="K1358" s="613">
        <v>110</v>
      </c>
      <c r="L1358" s="616">
        <v>135</v>
      </c>
      <c r="M1358" s="616">
        <v>135</v>
      </c>
      <c r="N1358" s="614">
        <v>121.17174</v>
      </c>
      <c r="O1358" s="648"/>
      <c r="P1358" s="648"/>
      <c r="R1358" s="626"/>
      <c r="T1358" s="633"/>
      <c r="U1358" s="634"/>
    </row>
    <row r="1359" spans="2:26" ht="19.149999999999999" customHeight="1">
      <c r="B1359" s="829" t="s">
        <v>1093</v>
      </c>
      <c r="C1359" s="654">
        <v>84</v>
      </c>
      <c r="D1359" s="607">
        <v>470</v>
      </c>
      <c r="E1359" s="608">
        <v>841004</v>
      </c>
      <c r="F1359" s="748" t="s">
        <v>343</v>
      </c>
      <c r="G1359" s="610"/>
      <c r="H1359" s="610"/>
      <c r="I1359" s="611" t="s">
        <v>44</v>
      </c>
      <c r="J1359" s="616">
        <v>43</v>
      </c>
      <c r="K1359" s="613">
        <v>45</v>
      </c>
      <c r="L1359" s="616">
        <v>45</v>
      </c>
      <c r="M1359" s="616">
        <v>45</v>
      </c>
      <c r="N1359" s="614">
        <v>43.222360000000002</v>
      </c>
      <c r="O1359" s="648"/>
      <c r="P1359" s="648"/>
      <c r="R1359" s="626"/>
      <c r="T1359" s="633"/>
      <c r="U1359" s="634"/>
    </row>
    <row r="1360" spans="2:26" ht="19.149999999999999" customHeight="1">
      <c r="B1360" s="829" t="s">
        <v>1093</v>
      </c>
      <c r="C1360" s="654">
        <v>84</v>
      </c>
      <c r="D1360" s="607">
        <v>511</v>
      </c>
      <c r="E1360" s="608">
        <v>841004</v>
      </c>
      <c r="F1360" s="748" t="s">
        <v>1682</v>
      </c>
      <c r="G1360" s="610"/>
      <c r="H1360" s="610"/>
      <c r="I1360" s="611" t="s">
        <v>44</v>
      </c>
      <c r="J1360" s="616">
        <v>35</v>
      </c>
      <c r="K1360" s="613">
        <v>35</v>
      </c>
      <c r="L1360" s="616">
        <v>50</v>
      </c>
      <c r="M1360" s="616">
        <v>50</v>
      </c>
      <c r="N1360" s="614">
        <v>27.545950000000001</v>
      </c>
      <c r="O1360" s="648"/>
      <c r="P1360" s="648"/>
      <c r="R1360" s="626"/>
      <c r="T1360" s="633"/>
      <c r="U1360" s="634"/>
    </row>
    <row r="1361" spans="2:26" ht="19.149999999999999" customHeight="1">
      <c r="B1361" s="829" t="s">
        <v>1093</v>
      </c>
      <c r="C1361" s="655">
        <v>84</v>
      </c>
      <c r="D1361" s="615">
        <v>521</v>
      </c>
      <c r="E1361" s="608">
        <v>841004</v>
      </c>
      <c r="F1361" s="748" t="s">
        <v>674</v>
      </c>
      <c r="G1361" s="610"/>
      <c r="H1361" s="610"/>
      <c r="I1361" s="611" t="s">
        <v>44</v>
      </c>
      <c r="J1361" s="616">
        <v>62</v>
      </c>
      <c r="K1361" s="613">
        <v>33</v>
      </c>
      <c r="L1361" s="616">
        <v>33</v>
      </c>
      <c r="M1361" s="616">
        <v>65</v>
      </c>
      <c r="N1361" s="614">
        <v>58.524999999999999</v>
      </c>
      <c r="O1361" s="648"/>
      <c r="P1361" s="648"/>
      <c r="R1361" s="626"/>
      <c r="T1361" s="633"/>
      <c r="U1361" s="634"/>
    </row>
    <row r="1362" spans="2:26" ht="19.149999999999999" customHeight="1">
      <c r="B1362" s="829" t="s">
        <v>1093</v>
      </c>
      <c r="C1362" s="654">
        <v>5</v>
      </c>
      <c r="D1362" s="607">
        <v>530</v>
      </c>
      <c r="E1362" s="608">
        <v>841004</v>
      </c>
      <c r="F1362" s="701" t="s">
        <v>1549</v>
      </c>
      <c r="G1362" s="610"/>
      <c r="H1362" s="610"/>
      <c r="I1362" s="611" t="s">
        <v>175</v>
      </c>
      <c r="J1362" s="616">
        <v>62</v>
      </c>
      <c r="K1362" s="613">
        <v>62</v>
      </c>
      <c r="L1362" s="616">
        <v>69</v>
      </c>
      <c r="M1362" s="616">
        <v>69</v>
      </c>
      <c r="N1362" s="614">
        <v>61.470109999999998</v>
      </c>
      <c r="O1362" s="648"/>
      <c r="P1362" s="648"/>
      <c r="R1362" s="626"/>
      <c r="T1362" s="633"/>
      <c r="U1362" s="634"/>
    </row>
    <row r="1363" spans="2:26" ht="19.149999999999999" customHeight="1">
      <c r="B1363" s="829" t="s">
        <v>1093</v>
      </c>
      <c r="C1363" s="654">
        <v>10</v>
      </c>
      <c r="D1363" s="607">
        <v>540</v>
      </c>
      <c r="E1363" s="608">
        <v>841004</v>
      </c>
      <c r="F1363" s="748" t="s">
        <v>1648</v>
      </c>
      <c r="G1363" s="610"/>
      <c r="H1363" s="610"/>
      <c r="I1363" s="611" t="s">
        <v>175</v>
      </c>
      <c r="J1363" s="616">
        <v>31</v>
      </c>
      <c r="K1363" s="613">
        <v>31</v>
      </c>
      <c r="L1363" s="616">
        <v>31</v>
      </c>
      <c r="M1363" s="616">
        <v>31</v>
      </c>
      <c r="N1363" s="614">
        <v>29.053519999999999</v>
      </c>
      <c r="O1363" s="648"/>
      <c r="P1363" s="648"/>
      <c r="R1363" s="626"/>
      <c r="T1363" s="633"/>
      <c r="U1363" s="634"/>
    </row>
    <row r="1364" spans="2:26" ht="19.149999999999999" customHeight="1">
      <c r="B1364" s="829" t="s">
        <v>1093</v>
      </c>
      <c r="C1364" s="654">
        <v>12</v>
      </c>
      <c r="D1364" s="607">
        <v>550</v>
      </c>
      <c r="E1364" s="608">
        <v>841004</v>
      </c>
      <c r="F1364" s="748" t="s">
        <v>607</v>
      </c>
      <c r="G1364" s="610"/>
      <c r="H1364" s="610"/>
      <c r="I1364" s="611" t="s">
        <v>44</v>
      </c>
      <c r="J1364" s="616">
        <v>10</v>
      </c>
      <c r="K1364" s="613">
        <v>7</v>
      </c>
      <c r="L1364" s="616">
        <v>10</v>
      </c>
      <c r="M1364" s="616">
        <v>10</v>
      </c>
      <c r="N1364" s="614">
        <v>12.434149999999999</v>
      </c>
      <c r="O1364" s="648"/>
      <c r="P1364" s="648"/>
      <c r="R1364" s="626"/>
      <c r="T1364" s="633"/>
      <c r="U1364" s="634"/>
    </row>
    <row r="1365" spans="2:26" ht="19.149999999999999" customHeight="1">
      <c r="B1365" s="829" t="s">
        <v>1093</v>
      </c>
      <c r="C1365" s="654">
        <v>84</v>
      </c>
      <c r="D1365" s="607">
        <v>562</v>
      </c>
      <c r="E1365" s="608">
        <v>841004</v>
      </c>
      <c r="F1365" s="609" t="s">
        <v>1680</v>
      </c>
      <c r="G1365" s="610"/>
      <c r="H1365" s="610"/>
      <c r="I1365" s="611" t="s">
        <v>44</v>
      </c>
      <c r="J1365" s="616">
        <v>18</v>
      </c>
      <c r="K1365" s="613">
        <v>19</v>
      </c>
      <c r="L1365" s="616">
        <v>19</v>
      </c>
      <c r="M1365" s="616">
        <v>19</v>
      </c>
      <c r="N1365" s="614">
        <v>8.6579999999999995</v>
      </c>
      <c r="O1365" s="648"/>
      <c r="P1365" s="648"/>
      <c r="R1365" s="626"/>
      <c r="T1365" s="633"/>
      <c r="U1365" s="634"/>
    </row>
    <row r="1366" spans="2:26" ht="19.149999999999999" customHeight="1">
      <c r="B1366" s="829" t="s">
        <v>1093</v>
      </c>
      <c r="C1366" s="654">
        <v>10</v>
      </c>
      <c r="D1366" s="607">
        <v>570</v>
      </c>
      <c r="E1366" s="608">
        <v>841004</v>
      </c>
      <c r="F1366" s="748" t="s">
        <v>608</v>
      </c>
      <c r="G1366" s="610"/>
      <c r="H1366" s="610"/>
      <c r="I1366" s="611" t="s">
        <v>175</v>
      </c>
      <c r="J1366" s="616">
        <v>138</v>
      </c>
      <c r="K1366" s="613">
        <v>138</v>
      </c>
      <c r="L1366" s="616">
        <v>126</v>
      </c>
      <c r="M1366" s="616">
        <v>116</v>
      </c>
      <c r="N1366" s="614">
        <v>69.065269999999998</v>
      </c>
      <c r="O1366" s="648"/>
      <c r="P1366" s="648"/>
      <c r="R1366" s="626"/>
      <c r="T1366" s="633"/>
      <c r="U1366" s="634"/>
    </row>
    <row r="1367" spans="2:26" ht="19.149999999999999" customHeight="1">
      <c r="B1367" s="829" t="s">
        <v>1093</v>
      </c>
      <c r="C1367" s="757">
        <v>5</v>
      </c>
      <c r="D1367" s="758">
        <v>747</v>
      </c>
      <c r="E1367" s="608">
        <v>841004</v>
      </c>
      <c r="F1367" s="748" t="s">
        <v>729</v>
      </c>
      <c r="G1367" s="610"/>
      <c r="H1367" s="610"/>
      <c r="I1367" s="611" t="s">
        <v>175</v>
      </c>
      <c r="J1367" s="616">
        <v>130</v>
      </c>
      <c r="K1367" s="613">
        <v>110</v>
      </c>
      <c r="L1367" s="616">
        <v>110</v>
      </c>
      <c r="M1367" s="616">
        <v>0</v>
      </c>
      <c r="N1367" s="614">
        <v>0</v>
      </c>
      <c r="O1367" s="648"/>
      <c r="P1367" s="648"/>
      <c r="R1367" s="626"/>
      <c r="T1367" s="633"/>
      <c r="U1367" s="634"/>
    </row>
    <row r="1368" spans="2:26" ht="19.149999999999999" customHeight="1">
      <c r="B1368" s="829" t="s">
        <v>1093</v>
      </c>
      <c r="C1368" s="655">
        <v>9</v>
      </c>
      <c r="D1368" s="615">
        <v>750</v>
      </c>
      <c r="E1368" s="608">
        <v>841004</v>
      </c>
      <c r="F1368" s="748" t="s">
        <v>1728</v>
      </c>
      <c r="G1368" s="610"/>
      <c r="H1368" s="610"/>
      <c r="I1368" s="611" t="s">
        <v>175</v>
      </c>
      <c r="J1368" s="616">
        <v>624</v>
      </c>
      <c r="K1368" s="613">
        <v>612</v>
      </c>
      <c r="L1368" s="616">
        <v>612</v>
      </c>
      <c r="M1368" s="616">
        <v>624</v>
      </c>
      <c r="N1368" s="614">
        <v>575.07258999999999</v>
      </c>
      <c r="O1368" s="648"/>
      <c r="P1368" s="648"/>
      <c r="R1368" s="626"/>
      <c r="T1368" s="633"/>
      <c r="U1368" s="634"/>
    </row>
    <row r="1369" spans="2:26" ht="19.149999999999999" customHeight="1">
      <c r="B1369" s="829" t="s">
        <v>1093</v>
      </c>
      <c r="C1369" s="655">
        <v>5</v>
      </c>
      <c r="D1369" s="615">
        <v>751</v>
      </c>
      <c r="E1369" s="608">
        <v>841004</v>
      </c>
      <c r="F1369" s="748" t="s">
        <v>1442</v>
      </c>
      <c r="G1369" s="610"/>
      <c r="H1369" s="610"/>
      <c r="I1369" s="611" t="s">
        <v>175</v>
      </c>
      <c r="J1369" s="616">
        <v>513</v>
      </c>
      <c r="K1369" s="613">
        <v>492</v>
      </c>
      <c r="L1369" s="616">
        <v>492</v>
      </c>
      <c r="M1369" s="616">
        <v>503</v>
      </c>
      <c r="N1369" s="614">
        <v>497.33496000000002</v>
      </c>
      <c r="O1369" s="648"/>
      <c r="P1369" s="648"/>
      <c r="R1369" s="626"/>
      <c r="T1369" s="633"/>
      <c r="U1369" s="634"/>
    </row>
    <row r="1370" spans="2:26" ht="19.149999999999999" customHeight="1">
      <c r="B1370" s="829" t="s">
        <v>1093</v>
      </c>
      <c r="C1370" s="654">
        <v>5</v>
      </c>
      <c r="D1370" s="607">
        <v>753</v>
      </c>
      <c r="E1370" s="608">
        <v>841004</v>
      </c>
      <c r="F1370" s="748" t="s">
        <v>1924</v>
      </c>
      <c r="G1370" s="610"/>
      <c r="H1370" s="610"/>
      <c r="I1370" s="611" t="s">
        <v>175</v>
      </c>
      <c r="J1370" s="616">
        <v>12</v>
      </c>
      <c r="K1370" s="613">
        <v>12</v>
      </c>
      <c r="L1370" s="616">
        <v>12</v>
      </c>
      <c r="M1370" s="616">
        <v>12</v>
      </c>
      <c r="N1370" s="614">
        <v>8.6352799999999998</v>
      </c>
      <c r="O1370" s="648"/>
      <c r="P1370" s="648"/>
      <c r="R1370" s="626"/>
      <c r="T1370" s="633"/>
      <c r="U1370" s="634"/>
    </row>
    <row r="1371" spans="2:26" ht="19.149999999999999" customHeight="1">
      <c r="B1371" s="829" t="s">
        <v>1093</v>
      </c>
      <c r="C1371" s="655">
        <v>84</v>
      </c>
      <c r="D1371" s="615">
        <v>755</v>
      </c>
      <c r="E1371" s="608">
        <v>841004</v>
      </c>
      <c r="F1371" s="748" t="s">
        <v>616</v>
      </c>
      <c r="G1371" s="610"/>
      <c r="H1371" s="610"/>
      <c r="I1371" s="611" t="s">
        <v>44</v>
      </c>
      <c r="J1371" s="616">
        <v>0</v>
      </c>
      <c r="K1371" s="613">
        <v>6</v>
      </c>
      <c r="L1371" s="616">
        <v>10</v>
      </c>
      <c r="M1371" s="616">
        <v>45</v>
      </c>
      <c r="N1371" s="614">
        <v>51.956110000000002</v>
      </c>
      <c r="O1371" s="648"/>
      <c r="P1371" s="648"/>
      <c r="R1371" s="626"/>
      <c r="T1371" s="633"/>
      <c r="U1371" s="634"/>
    </row>
    <row r="1372" spans="2:26" ht="28">
      <c r="B1372" s="829" t="s">
        <v>1093</v>
      </c>
      <c r="C1372" s="654">
        <v>84</v>
      </c>
      <c r="D1372" s="607">
        <v>780</v>
      </c>
      <c r="E1372" s="608">
        <v>841004</v>
      </c>
      <c r="F1372" s="748" t="s">
        <v>2176</v>
      </c>
      <c r="G1372" s="610"/>
      <c r="H1372" s="610"/>
      <c r="I1372" s="611" t="s">
        <v>44</v>
      </c>
      <c r="J1372" s="616">
        <v>79</v>
      </c>
      <c r="K1372" s="613">
        <v>99</v>
      </c>
      <c r="L1372" s="616">
        <v>69</v>
      </c>
      <c r="M1372" s="616">
        <v>69</v>
      </c>
      <c r="N1372" s="614">
        <v>42.48218</v>
      </c>
      <c r="O1372" s="648"/>
      <c r="P1372" s="648"/>
      <c r="R1372" s="626"/>
      <c r="T1372" s="633"/>
      <c r="U1372" s="634"/>
    </row>
    <row r="1373" spans="2:26" ht="19.149999999999999" customHeight="1">
      <c r="B1373" s="829" t="s">
        <v>1093</v>
      </c>
      <c r="C1373" s="654">
        <v>84</v>
      </c>
      <c r="D1373" s="607">
        <v>781</v>
      </c>
      <c r="E1373" s="608">
        <v>841004</v>
      </c>
      <c r="F1373" s="748" t="s">
        <v>1790</v>
      </c>
      <c r="G1373" s="610"/>
      <c r="H1373" s="610"/>
      <c r="I1373" s="611" t="s">
        <v>44</v>
      </c>
      <c r="J1373" s="616">
        <v>17</v>
      </c>
      <c r="K1373" s="613">
        <v>120</v>
      </c>
      <c r="L1373" s="616">
        <v>137</v>
      </c>
      <c r="M1373" s="616">
        <v>137</v>
      </c>
      <c r="N1373" s="614">
        <v>0</v>
      </c>
      <c r="O1373" s="648"/>
      <c r="P1373" s="648"/>
      <c r="R1373" s="626"/>
      <c r="T1373" s="633"/>
      <c r="U1373" s="634"/>
    </row>
    <row r="1374" spans="2:26" ht="19.149999999999999" customHeight="1">
      <c r="B1374" s="829" t="s">
        <v>1093</v>
      </c>
      <c r="C1374" s="655">
        <v>7</v>
      </c>
      <c r="D1374" s="615">
        <v>820</v>
      </c>
      <c r="E1374" s="608">
        <v>841004</v>
      </c>
      <c r="F1374" s="748" t="s">
        <v>1889</v>
      </c>
      <c r="G1374" s="610"/>
      <c r="H1374" s="610"/>
      <c r="I1374" s="611" t="s">
        <v>175</v>
      </c>
      <c r="J1374" s="616">
        <v>179</v>
      </c>
      <c r="K1374" s="613">
        <v>179</v>
      </c>
      <c r="L1374" s="616">
        <v>179</v>
      </c>
      <c r="M1374" s="616">
        <v>210</v>
      </c>
      <c r="N1374" s="614">
        <v>197.292</v>
      </c>
      <c r="O1374" s="648"/>
      <c r="P1374" s="648"/>
      <c r="R1374" s="626"/>
      <c r="T1374" s="633"/>
      <c r="U1374" s="634"/>
      <c r="Z1374" s="216"/>
    </row>
    <row r="1375" spans="2:26" ht="19.149999999999999" customHeight="1">
      <c r="B1375" s="829" t="s">
        <v>1093</v>
      </c>
      <c r="C1375" s="655">
        <v>84</v>
      </c>
      <c r="D1375" s="615">
        <v>960</v>
      </c>
      <c r="E1375" s="608">
        <v>841004</v>
      </c>
      <c r="F1375" s="609" t="s">
        <v>8</v>
      </c>
      <c r="G1375" s="610"/>
      <c r="H1375" s="610"/>
      <c r="I1375" s="611" t="s">
        <v>44</v>
      </c>
      <c r="J1375" s="616">
        <v>124</v>
      </c>
      <c r="K1375" s="613">
        <v>88</v>
      </c>
      <c r="L1375" s="616">
        <v>88</v>
      </c>
      <c r="M1375" s="616">
        <v>155</v>
      </c>
      <c r="N1375" s="614">
        <v>124.93274000000001</v>
      </c>
      <c r="O1375" s="648"/>
      <c r="P1375" s="648"/>
      <c r="R1375" s="626"/>
      <c r="T1375" s="633"/>
      <c r="U1375" s="634"/>
    </row>
    <row r="1376" spans="2:26" ht="19.149999999999999" customHeight="1">
      <c r="B1376" s="747"/>
      <c r="C1376" s="656"/>
      <c r="D1376" s="618"/>
      <c r="E1376" s="619" t="s">
        <v>1092</v>
      </c>
      <c r="F1376" s="620" t="s">
        <v>224</v>
      </c>
      <c r="G1376" s="621">
        <f>SUM(G1355:G1375)</f>
        <v>71.400000000000006</v>
      </c>
      <c r="H1376" s="621">
        <f>SUM(H1355:H1375)</f>
        <v>64.605983333333342</v>
      </c>
      <c r="I1376" s="622"/>
      <c r="J1376" s="623">
        <f>SUM(J1355:J1375)</f>
        <v>18046</v>
      </c>
      <c r="K1376" s="624">
        <f>SUM(K1355:K1375)</f>
        <v>17145</v>
      </c>
      <c r="L1376" s="623">
        <f>SUM(L1355:L1375)</f>
        <v>17673</v>
      </c>
      <c r="M1376" s="623">
        <f>SUM(M1355:M1375)</f>
        <v>17665</v>
      </c>
      <c r="N1376" s="625">
        <f>SUM(N1355:N1375)</f>
        <v>15746.473369999996</v>
      </c>
      <c r="O1376" s="648"/>
      <c r="P1376" s="648"/>
      <c r="R1376" s="626"/>
      <c r="T1376" s="633"/>
      <c r="U1376" s="632"/>
    </row>
    <row r="1377" spans="2:26" ht="19.149999999999999" customHeight="1">
      <c r="B1377" s="704"/>
      <c r="C1377" s="684"/>
      <c r="D1377" s="705"/>
      <c r="E1377" s="695" t="s">
        <v>139</v>
      </c>
      <c r="F1377" s="687" t="s">
        <v>140</v>
      </c>
      <c r="G1377" s="706"/>
      <c r="H1377" s="706"/>
      <c r="I1377" s="707"/>
      <c r="J1377" s="690"/>
      <c r="K1377" s="693"/>
      <c r="L1377" s="690"/>
      <c r="M1377" s="690"/>
      <c r="N1377" s="708"/>
      <c r="O1377" s="648"/>
      <c r="P1377" s="648"/>
      <c r="R1377" s="626"/>
      <c r="T1377" s="633"/>
      <c r="U1377" s="632"/>
    </row>
    <row r="1378" spans="2:26" ht="19.149999999999999" customHeight="1">
      <c r="B1378" s="606" t="s">
        <v>140</v>
      </c>
      <c r="C1378" s="654">
        <v>84</v>
      </c>
      <c r="D1378" s="607">
        <v>310</v>
      </c>
      <c r="E1378" s="608">
        <v>841900</v>
      </c>
      <c r="F1378" s="609" t="s">
        <v>647</v>
      </c>
      <c r="G1378" s="610">
        <v>25.46</v>
      </c>
      <c r="H1378" s="610">
        <v>25.458833333333331</v>
      </c>
      <c r="I1378" s="611" t="s">
        <v>669</v>
      </c>
      <c r="J1378" s="616">
        <f>4000*1.007+250+22</f>
        <v>4300</v>
      </c>
      <c r="K1378" s="613">
        <f>3700+300</f>
        <v>4000</v>
      </c>
      <c r="L1378" s="616">
        <v>4250</v>
      </c>
      <c r="M1378" s="616">
        <v>4250</v>
      </c>
      <c r="N1378" s="614">
        <v>3641.8386099999998</v>
      </c>
      <c r="O1378" s="648"/>
      <c r="P1378" s="648"/>
      <c r="R1378" s="626"/>
      <c r="T1378" s="633"/>
      <c r="U1378" s="634"/>
      <c r="Z1378" s="216"/>
    </row>
    <row r="1379" spans="2:26" ht="19.149999999999999" customHeight="1">
      <c r="B1379" s="606" t="s">
        <v>140</v>
      </c>
      <c r="C1379" s="654">
        <v>84</v>
      </c>
      <c r="D1379" s="607">
        <v>320</v>
      </c>
      <c r="E1379" s="608">
        <v>841900</v>
      </c>
      <c r="F1379" s="609" t="s">
        <v>196</v>
      </c>
      <c r="G1379" s="610">
        <v>0</v>
      </c>
      <c r="H1379" s="610">
        <v>0</v>
      </c>
      <c r="I1379" s="611" t="s">
        <v>669</v>
      </c>
      <c r="J1379" s="616">
        <v>450</v>
      </c>
      <c r="K1379" s="613">
        <v>300</v>
      </c>
      <c r="L1379" s="616">
        <v>450</v>
      </c>
      <c r="M1379" s="616">
        <v>450</v>
      </c>
      <c r="N1379" s="614">
        <v>253.04051000000001</v>
      </c>
      <c r="O1379" s="648"/>
      <c r="P1379" s="648"/>
      <c r="R1379" s="626"/>
      <c r="T1379" s="633"/>
      <c r="U1379" s="634"/>
    </row>
    <row r="1380" spans="2:26" ht="19.149999999999999" customHeight="1">
      <c r="B1380" s="747"/>
      <c r="C1380" s="656"/>
      <c r="D1380" s="618"/>
      <c r="E1380" s="619" t="s">
        <v>139</v>
      </c>
      <c r="F1380" s="620" t="s">
        <v>1081</v>
      </c>
      <c r="G1380" s="621">
        <f>SUM(G1378:G1379)</f>
        <v>25.46</v>
      </c>
      <c r="H1380" s="621">
        <f>SUM(H1378:H1379)</f>
        <v>25.458833333333331</v>
      </c>
      <c r="I1380" s="622"/>
      <c r="J1380" s="623">
        <f>SUM(J1378:J1379)</f>
        <v>4750</v>
      </c>
      <c r="K1380" s="624">
        <f>SUM(K1378:K1379)</f>
        <v>4300</v>
      </c>
      <c r="L1380" s="623">
        <f>SUM(L1378:L1379)</f>
        <v>4700</v>
      </c>
      <c r="M1380" s="623">
        <f>SUM(M1378:M1379)</f>
        <v>4700</v>
      </c>
      <c r="N1380" s="625">
        <f>SUM(N1378:N1379)</f>
        <v>3894.8791199999996</v>
      </c>
      <c r="O1380" s="648"/>
      <c r="P1380" s="648"/>
      <c r="R1380" s="626"/>
      <c r="T1380" s="633"/>
      <c r="U1380" s="632"/>
    </row>
    <row r="1381" spans="2:26" ht="19.149999999999999" customHeight="1">
      <c r="B1381" s="704"/>
      <c r="C1381" s="684"/>
      <c r="D1381" s="705"/>
      <c r="E1381" s="695" t="s">
        <v>1094</v>
      </c>
      <c r="F1381" s="687" t="s">
        <v>87</v>
      </c>
      <c r="G1381" s="706"/>
      <c r="H1381" s="706"/>
      <c r="I1381" s="707"/>
      <c r="J1381" s="690"/>
      <c r="K1381" s="693"/>
      <c r="L1381" s="690"/>
      <c r="M1381" s="690"/>
      <c r="N1381" s="708"/>
      <c r="O1381" s="648"/>
      <c r="P1381" s="648"/>
      <c r="R1381" s="626"/>
      <c r="T1381" s="633"/>
      <c r="U1381" s="632"/>
    </row>
    <row r="1382" spans="2:26" ht="19.149999999999999" customHeight="1">
      <c r="B1382" s="606" t="s">
        <v>87</v>
      </c>
      <c r="C1382" s="654">
        <v>84</v>
      </c>
      <c r="D1382" s="607">
        <v>184</v>
      </c>
      <c r="E1382" s="608">
        <v>842200</v>
      </c>
      <c r="F1382" s="609" t="s">
        <v>1627</v>
      </c>
      <c r="G1382" s="610">
        <v>0.8</v>
      </c>
      <c r="H1382" s="610">
        <v>0.5</v>
      </c>
      <c r="I1382" s="611" t="s">
        <v>669</v>
      </c>
      <c r="J1382" s="616">
        <v>155</v>
      </c>
      <c r="K1382" s="613">
        <v>95</v>
      </c>
      <c r="L1382" s="616">
        <v>140</v>
      </c>
      <c r="M1382" s="616">
        <v>140</v>
      </c>
      <c r="N1382" s="614">
        <v>85.673779999999994</v>
      </c>
      <c r="O1382" s="648"/>
      <c r="P1382" s="648"/>
      <c r="R1382" s="626"/>
      <c r="T1382" s="633"/>
      <c r="U1382" s="634"/>
    </row>
    <row r="1383" spans="2:26" ht="19.149999999999999" customHeight="1">
      <c r="B1383" s="606" t="s">
        <v>87</v>
      </c>
      <c r="C1383" s="654">
        <v>84</v>
      </c>
      <c r="D1383" s="607">
        <v>840</v>
      </c>
      <c r="E1383" s="608">
        <v>842201</v>
      </c>
      <c r="F1383" s="609" t="s">
        <v>1444</v>
      </c>
      <c r="G1383" s="610"/>
      <c r="H1383" s="610"/>
      <c r="I1383" s="611" t="s">
        <v>175</v>
      </c>
      <c r="J1383" s="616">
        <v>300</v>
      </c>
      <c r="K1383" s="613">
        <v>303</v>
      </c>
      <c r="L1383" s="616">
        <v>307</v>
      </c>
      <c r="M1383" s="616">
        <v>52</v>
      </c>
      <c r="N1383" s="614">
        <v>150.995</v>
      </c>
      <c r="O1383" s="648"/>
      <c r="P1383" s="648"/>
      <c r="R1383" s="626"/>
      <c r="T1383" s="633"/>
      <c r="U1383" s="634"/>
    </row>
    <row r="1384" spans="2:26" ht="19.149999999999999" customHeight="1">
      <c r="B1384" s="606" t="s">
        <v>87</v>
      </c>
      <c r="C1384" s="654">
        <v>84</v>
      </c>
      <c r="D1384" s="607">
        <v>780</v>
      </c>
      <c r="E1384" s="608">
        <v>842202</v>
      </c>
      <c r="F1384" s="609" t="s">
        <v>1395</v>
      </c>
      <c r="G1384" s="610"/>
      <c r="H1384" s="610"/>
      <c r="I1384" s="611" t="s">
        <v>44</v>
      </c>
      <c r="J1384" s="616">
        <f>257-26</f>
        <v>231</v>
      </c>
      <c r="K1384" s="613">
        <v>257</v>
      </c>
      <c r="L1384" s="616">
        <v>257</v>
      </c>
      <c r="M1384" s="616">
        <v>117</v>
      </c>
      <c r="N1384" s="614">
        <v>106.13988000000001</v>
      </c>
      <c r="O1384" s="648"/>
      <c r="P1384" s="648"/>
      <c r="R1384" s="626"/>
      <c r="T1384" s="633"/>
      <c r="U1384" s="634"/>
    </row>
    <row r="1385" spans="2:26" ht="19.149999999999999" customHeight="1">
      <c r="B1385" s="606" t="s">
        <v>87</v>
      </c>
      <c r="C1385" s="654">
        <v>1</v>
      </c>
      <c r="D1385" s="607">
        <v>781</v>
      </c>
      <c r="E1385" s="608">
        <v>842202</v>
      </c>
      <c r="F1385" s="609" t="s">
        <v>1843</v>
      </c>
      <c r="G1385" s="610"/>
      <c r="H1385" s="610"/>
      <c r="I1385" s="611" t="s">
        <v>175</v>
      </c>
      <c r="J1385" s="616">
        <v>300</v>
      </c>
      <c r="K1385" s="613">
        <v>300</v>
      </c>
      <c r="L1385" s="616">
        <v>300</v>
      </c>
      <c r="M1385" s="616">
        <v>250</v>
      </c>
      <c r="N1385" s="614">
        <v>175.89599999999999</v>
      </c>
      <c r="O1385" s="648"/>
      <c r="P1385" s="648"/>
      <c r="R1385" s="626"/>
      <c r="T1385" s="633"/>
      <c r="U1385" s="634"/>
    </row>
    <row r="1386" spans="2:26" ht="28">
      <c r="B1386" s="606" t="s">
        <v>87</v>
      </c>
      <c r="C1386" s="654">
        <v>84</v>
      </c>
      <c r="D1386" s="607">
        <v>840</v>
      </c>
      <c r="E1386" s="608">
        <v>842202</v>
      </c>
      <c r="F1386" s="609" t="s">
        <v>2111</v>
      </c>
      <c r="G1386" s="610"/>
      <c r="H1386" s="610"/>
      <c r="I1386" s="611" t="s">
        <v>175</v>
      </c>
      <c r="J1386" s="616">
        <v>1250</v>
      </c>
      <c r="K1386" s="613">
        <v>1250</v>
      </c>
      <c r="L1386" s="616">
        <v>1250</v>
      </c>
      <c r="M1386" s="616">
        <v>800</v>
      </c>
      <c r="N1386" s="614">
        <v>870.44569999999999</v>
      </c>
      <c r="O1386" s="648"/>
      <c r="P1386" s="648"/>
      <c r="R1386" s="626"/>
      <c r="T1386" s="633"/>
      <c r="U1386" s="634"/>
    </row>
    <row r="1387" spans="2:26" ht="28">
      <c r="B1387" s="606" t="s">
        <v>87</v>
      </c>
      <c r="C1387" s="654">
        <v>84</v>
      </c>
      <c r="D1387" s="607">
        <v>841</v>
      </c>
      <c r="E1387" s="608">
        <v>842202</v>
      </c>
      <c r="F1387" s="609" t="s">
        <v>2318</v>
      </c>
      <c r="G1387" s="610"/>
      <c r="H1387" s="610"/>
      <c r="I1387" s="611" t="s">
        <v>44</v>
      </c>
      <c r="J1387" s="616">
        <f>234-23</f>
        <v>211</v>
      </c>
      <c r="K1387" s="613">
        <v>90</v>
      </c>
      <c r="L1387" s="616">
        <v>90</v>
      </c>
      <c r="M1387" s="616">
        <v>90</v>
      </c>
      <c r="N1387" s="614">
        <v>53.873809999999999</v>
      </c>
      <c r="O1387" s="648"/>
      <c r="P1387" s="648"/>
      <c r="R1387" s="626"/>
      <c r="T1387" s="633"/>
      <c r="U1387" s="634"/>
    </row>
    <row r="1388" spans="2:26" ht="21" customHeight="1">
      <c r="B1388" s="606" t="s">
        <v>87</v>
      </c>
      <c r="C1388" s="654">
        <v>5</v>
      </c>
      <c r="D1388" s="607">
        <v>863</v>
      </c>
      <c r="E1388" s="608">
        <v>842202</v>
      </c>
      <c r="F1388" s="748" t="s">
        <v>2178</v>
      </c>
      <c r="G1388" s="610"/>
      <c r="H1388" s="610"/>
      <c r="I1388" s="611" t="s">
        <v>175</v>
      </c>
      <c r="J1388" s="616">
        <v>1500</v>
      </c>
      <c r="K1388" s="613">
        <v>0</v>
      </c>
      <c r="L1388" s="616">
        <v>0</v>
      </c>
      <c r="M1388" s="616">
        <v>0</v>
      </c>
      <c r="N1388" s="614">
        <v>0</v>
      </c>
      <c r="O1388" s="648"/>
      <c r="P1388" s="648"/>
      <c r="Q1388" s="653"/>
      <c r="R1388" s="626"/>
      <c r="T1388" s="633"/>
      <c r="U1388" s="634"/>
      <c r="X1388" s="653"/>
    </row>
    <row r="1389" spans="2:26" ht="28">
      <c r="B1389" s="606" t="s">
        <v>87</v>
      </c>
      <c r="C1389" s="654">
        <v>84</v>
      </c>
      <c r="D1389" s="607">
        <v>980</v>
      </c>
      <c r="E1389" s="608">
        <v>842202</v>
      </c>
      <c r="F1389" s="609" t="s">
        <v>2304</v>
      </c>
      <c r="G1389" s="610"/>
      <c r="H1389" s="610"/>
      <c r="I1389" s="611" t="s">
        <v>44</v>
      </c>
      <c r="J1389" s="616">
        <v>0</v>
      </c>
      <c r="K1389" s="613">
        <v>127</v>
      </c>
      <c r="L1389" s="616">
        <v>127</v>
      </c>
      <c r="M1389" s="616">
        <v>0</v>
      </c>
      <c r="N1389" s="614">
        <v>0</v>
      </c>
      <c r="O1389" s="648"/>
      <c r="P1389" s="648"/>
      <c r="R1389" s="626"/>
      <c r="T1389" s="633"/>
      <c r="U1389" s="634"/>
    </row>
    <row r="1390" spans="2:26" ht="31.15" customHeight="1">
      <c r="B1390" s="606" t="s">
        <v>87</v>
      </c>
      <c r="C1390" s="654">
        <v>84</v>
      </c>
      <c r="D1390" s="607">
        <v>840</v>
      </c>
      <c r="E1390" s="608">
        <v>842204</v>
      </c>
      <c r="F1390" s="609" t="s">
        <v>2147</v>
      </c>
      <c r="G1390" s="610"/>
      <c r="H1390" s="610"/>
      <c r="I1390" s="611" t="s">
        <v>175</v>
      </c>
      <c r="J1390" s="616">
        <v>0</v>
      </c>
      <c r="K1390" s="613">
        <v>0</v>
      </c>
      <c r="L1390" s="616">
        <v>0</v>
      </c>
      <c r="M1390" s="616">
        <v>450</v>
      </c>
      <c r="N1390" s="614">
        <v>417.02050000000003</v>
      </c>
      <c r="O1390" s="648"/>
      <c r="P1390" s="648"/>
      <c r="R1390" s="626"/>
      <c r="T1390" s="633"/>
      <c r="U1390" s="634"/>
    </row>
    <row r="1391" spans="2:26" ht="28">
      <c r="B1391" s="606" t="s">
        <v>87</v>
      </c>
      <c r="C1391" s="654">
        <v>84</v>
      </c>
      <c r="D1391" s="607">
        <v>841</v>
      </c>
      <c r="E1391" s="608">
        <v>842204</v>
      </c>
      <c r="F1391" s="609" t="s">
        <v>2319</v>
      </c>
      <c r="G1391" s="610"/>
      <c r="H1391" s="610"/>
      <c r="I1391" s="611" t="s">
        <v>44</v>
      </c>
      <c r="J1391" s="616">
        <v>0</v>
      </c>
      <c r="K1391" s="613">
        <v>124</v>
      </c>
      <c r="L1391" s="616">
        <v>124</v>
      </c>
      <c r="M1391" s="616">
        <v>124</v>
      </c>
      <c r="N1391" s="614">
        <v>109.31867999999999</v>
      </c>
      <c r="O1391" s="648"/>
      <c r="P1391" s="648"/>
      <c r="R1391" s="626"/>
      <c r="T1391" s="633"/>
      <c r="U1391" s="634"/>
    </row>
    <row r="1392" spans="2:26" ht="19.149999999999999" customHeight="1">
      <c r="B1392" s="606" t="s">
        <v>87</v>
      </c>
      <c r="C1392" s="654">
        <v>84</v>
      </c>
      <c r="D1392" s="607">
        <v>840</v>
      </c>
      <c r="E1392" s="608">
        <v>842205</v>
      </c>
      <c r="F1392" s="609" t="s">
        <v>1445</v>
      </c>
      <c r="G1392" s="610"/>
      <c r="H1392" s="610"/>
      <c r="I1392" s="611" t="s">
        <v>175</v>
      </c>
      <c r="J1392" s="616">
        <v>5</v>
      </c>
      <c r="K1392" s="613">
        <v>0</v>
      </c>
      <c r="L1392" s="616">
        <v>9</v>
      </c>
      <c r="M1392" s="616">
        <v>9</v>
      </c>
      <c r="N1392" s="614">
        <v>0</v>
      </c>
      <c r="O1392" s="648"/>
      <c r="P1392" s="648"/>
      <c r="R1392" s="626"/>
      <c r="T1392" s="633"/>
      <c r="U1392" s="634"/>
    </row>
    <row r="1393" spans="2:21" ht="19.149999999999999" customHeight="1">
      <c r="B1393" s="606" t="s">
        <v>87</v>
      </c>
      <c r="C1393" s="654">
        <v>84</v>
      </c>
      <c r="D1393" s="607">
        <v>840</v>
      </c>
      <c r="E1393" s="608">
        <v>842206</v>
      </c>
      <c r="F1393" s="609" t="s">
        <v>1446</v>
      </c>
      <c r="G1393" s="610"/>
      <c r="H1393" s="610"/>
      <c r="I1393" s="611" t="s">
        <v>175</v>
      </c>
      <c r="J1393" s="616">
        <v>140</v>
      </c>
      <c r="K1393" s="613">
        <v>140</v>
      </c>
      <c r="L1393" s="616">
        <v>150</v>
      </c>
      <c r="M1393" s="616">
        <v>150</v>
      </c>
      <c r="N1393" s="614">
        <v>188.554</v>
      </c>
      <c r="O1393" s="648"/>
      <c r="P1393" s="648"/>
      <c r="R1393" s="626"/>
      <c r="T1393" s="633"/>
      <c r="U1393" s="634"/>
    </row>
    <row r="1394" spans="2:21" ht="19.149999999999999" customHeight="1">
      <c r="B1394" s="606" t="s">
        <v>87</v>
      </c>
      <c r="C1394" s="654">
        <v>84</v>
      </c>
      <c r="D1394" s="607">
        <v>104</v>
      </c>
      <c r="E1394" s="608">
        <v>842401</v>
      </c>
      <c r="F1394" s="609" t="s">
        <v>1448</v>
      </c>
      <c r="G1394" s="610">
        <v>4.7</v>
      </c>
      <c r="H1394" s="610">
        <v>4.6333333333333329</v>
      </c>
      <c r="I1394" s="611" t="s">
        <v>669</v>
      </c>
      <c r="J1394" s="616">
        <v>935</v>
      </c>
      <c r="K1394" s="613">
        <v>882</v>
      </c>
      <c r="L1394" s="616">
        <v>867</v>
      </c>
      <c r="M1394" s="616">
        <v>867</v>
      </c>
      <c r="N1394" s="614">
        <v>711.66618000000005</v>
      </c>
      <c r="O1394" s="648"/>
      <c r="P1394" s="648"/>
      <c r="R1394" s="626"/>
      <c r="T1394" s="633"/>
      <c r="U1394" s="634"/>
    </row>
    <row r="1395" spans="2:21" ht="28">
      <c r="B1395" s="606" t="s">
        <v>87</v>
      </c>
      <c r="C1395" s="654">
        <v>84</v>
      </c>
      <c r="D1395" s="607">
        <v>184</v>
      </c>
      <c r="E1395" s="608">
        <v>842401</v>
      </c>
      <c r="F1395" s="609" t="s">
        <v>2002</v>
      </c>
      <c r="G1395" s="610">
        <v>3.85</v>
      </c>
      <c r="H1395" s="610">
        <v>2.8</v>
      </c>
      <c r="I1395" s="611" t="s">
        <v>669</v>
      </c>
      <c r="J1395" s="616">
        <v>600</v>
      </c>
      <c r="K1395" s="613">
        <v>485</v>
      </c>
      <c r="L1395" s="616">
        <v>603</v>
      </c>
      <c r="M1395" s="616">
        <v>603</v>
      </c>
      <c r="N1395" s="614">
        <v>282.41721000000001</v>
      </c>
      <c r="O1395" s="648"/>
      <c r="P1395" s="648"/>
      <c r="R1395" s="626"/>
      <c r="T1395" s="633"/>
      <c r="U1395" s="634"/>
    </row>
    <row r="1396" spans="2:21" ht="19.149999999999999" customHeight="1">
      <c r="B1396" s="606" t="s">
        <v>87</v>
      </c>
      <c r="C1396" s="654">
        <v>84</v>
      </c>
      <c r="D1396" s="607">
        <v>780</v>
      </c>
      <c r="E1396" s="608">
        <v>842401</v>
      </c>
      <c r="F1396" s="609" t="s">
        <v>1447</v>
      </c>
      <c r="G1396" s="610"/>
      <c r="H1396" s="610"/>
      <c r="I1396" s="611" t="s">
        <v>44</v>
      </c>
      <c r="J1396" s="616">
        <f>48</f>
        <v>48</v>
      </c>
      <c r="K1396" s="613">
        <v>50</v>
      </c>
      <c r="L1396" s="616">
        <v>50</v>
      </c>
      <c r="M1396" s="616">
        <v>50</v>
      </c>
      <c r="N1396" s="614">
        <v>57.477089999999997</v>
      </c>
      <c r="O1396" s="648"/>
      <c r="P1396" s="648"/>
      <c r="R1396" s="626"/>
      <c r="T1396" s="633"/>
      <c r="U1396" s="634"/>
    </row>
    <row r="1397" spans="2:21" ht="19.149999999999999" customHeight="1">
      <c r="B1397" s="606" t="s">
        <v>87</v>
      </c>
      <c r="C1397" s="654">
        <v>84</v>
      </c>
      <c r="D1397" s="607">
        <v>840</v>
      </c>
      <c r="E1397" s="608">
        <v>842401</v>
      </c>
      <c r="F1397" s="609" t="s">
        <v>1963</v>
      </c>
      <c r="G1397" s="610"/>
      <c r="H1397" s="610"/>
      <c r="I1397" s="611" t="s">
        <v>175</v>
      </c>
      <c r="J1397" s="616">
        <v>0</v>
      </c>
      <c r="K1397" s="613">
        <v>0</v>
      </c>
      <c r="L1397" s="616">
        <v>0</v>
      </c>
      <c r="M1397" s="616">
        <v>0</v>
      </c>
      <c r="N1397" s="614">
        <v>144.02869000000001</v>
      </c>
      <c r="O1397" s="648"/>
      <c r="P1397" s="648"/>
      <c r="R1397" s="626"/>
      <c r="T1397" s="633"/>
      <c r="U1397" s="634"/>
    </row>
    <row r="1398" spans="2:21" ht="19.149999999999999" customHeight="1">
      <c r="B1398" s="606" t="s">
        <v>87</v>
      </c>
      <c r="C1398" s="654">
        <v>84</v>
      </c>
      <c r="D1398" s="607">
        <v>840</v>
      </c>
      <c r="E1398" s="608">
        <v>842402</v>
      </c>
      <c r="F1398" s="609" t="s">
        <v>1993</v>
      </c>
      <c r="G1398" s="610"/>
      <c r="H1398" s="610"/>
      <c r="I1398" s="611" t="s">
        <v>175</v>
      </c>
      <c r="J1398" s="616">
        <v>54</v>
      </c>
      <c r="K1398" s="613">
        <v>42</v>
      </c>
      <c r="L1398" s="616">
        <v>42</v>
      </c>
      <c r="M1398" s="616">
        <v>42</v>
      </c>
      <c r="N1398" s="614">
        <v>11.686</v>
      </c>
      <c r="O1398" s="648"/>
      <c r="P1398" s="648"/>
      <c r="R1398" s="626"/>
      <c r="T1398" s="633"/>
      <c r="U1398" s="634"/>
    </row>
    <row r="1399" spans="2:21" ht="28">
      <c r="B1399" s="606" t="s">
        <v>87</v>
      </c>
      <c r="C1399" s="654">
        <v>84</v>
      </c>
      <c r="D1399" s="607">
        <v>780</v>
      </c>
      <c r="E1399" s="608">
        <v>842403</v>
      </c>
      <c r="F1399" s="609" t="s">
        <v>1768</v>
      </c>
      <c r="G1399" s="610"/>
      <c r="H1399" s="610"/>
      <c r="I1399" s="611" t="s">
        <v>44</v>
      </c>
      <c r="J1399" s="616">
        <f>38</f>
        <v>38</v>
      </c>
      <c r="K1399" s="613">
        <v>35</v>
      </c>
      <c r="L1399" s="616">
        <v>40</v>
      </c>
      <c r="M1399" s="616">
        <v>40</v>
      </c>
      <c r="N1399" s="614">
        <v>8.6021000000000001</v>
      </c>
      <c r="O1399" s="648"/>
      <c r="P1399" s="648"/>
      <c r="R1399" s="626"/>
      <c r="T1399" s="633"/>
      <c r="U1399" s="634"/>
    </row>
    <row r="1400" spans="2:21" ht="19.149999999999999" customHeight="1">
      <c r="B1400" s="606" t="s">
        <v>87</v>
      </c>
      <c r="C1400" s="654">
        <v>84</v>
      </c>
      <c r="D1400" s="607">
        <v>840</v>
      </c>
      <c r="E1400" s="608">
        <v>842404</v>
      </c>
      <c r="F1400" s="609" t="s">
        <v>1725</v>
      </c>
      <c r="G1400" s="610"/>
      <c r="H1400" s="610"/>
      <c r="I1400" s="611" t="s">
        <v>44</v>
      </c>
      <c r="J1400" s="616">
        <v>14</v>
      </c>
      <c r="K1400" s="613">
        <v>15</v>
      </c>
      <c r="L1400" s="616">
        <v>15</v>
      </c>
      <c r="M1400" s="616">
        <v>15</v>
      </c>
      <c r="N1400" s="614">
        <v>10.173399999999999</v>
      </c>
      <c r="O1400" s="648"/>
      <c r="P1400" s="648"/>
      <c r="R1400" s="626"/>
      <c r="T1400" s="633"/>
      <c r="U1400" s="634"/>
    </row>
    <row r="1401" spans="2:21" ht="19.149999999999999" customHeight="1">
      <c r="B1401" s="747"/>
      <c r="C1401" s="656"/>
      <c r="D1401" s="618"/>
      <c r="E1401" s="619" t="s">
        <v>1094</v>
      </c>
      <c r="F1401" s="620" t="s">
        <v>728</v>
      </c>
      <c r="G1401" s="621">
        <f>SUM(G1381:G1400)</f>
        <v>9.35</v>
      </c>
      <c r="H1401" s="621">
        <f>SUM(H1381:H1400)</f>
        <v>7.9333333333333327</v>
      </c>
      <c r="I1401" s="622"/>
      <c r="J1401" s="623">
        <f>SUM(J1381:J1400)</f>
        <v>5781</v>
      </c>
      <c r="K1401" s="624">
        <f>SUM(K1381:K1400)</f>
        <v>4195</v>
      </c>
      <c r="L1401" s="623">
        <f>SUM(L1381:L1400)</f>
        <v>4371</v>
      </c>
      <c r="M1401" s="623">
        <f>SUM(M1381:M1400)</f>
        <v>3799</v>
      </c>
      <c r="N1401" s="625">
        <f>SUM(N1381:N1400)</f>
        <v>3383.9680200000007</v>
      </c>
      <c r="O1401" s="648"/>
      <c r="P1401" s="648"/>
      <c r="R1401" s="626"/>
      <c r="T1401" s="633"/>
      <c r="U1401" s="632"/>
    </row>
    <row r="1402" spans="2:21" ht="19.149999999999999" customHeight="1">
      <c r="B1402" s="704"/>
      <c r="C1402" s="684"/>
      <c r="D1402" s="705"/>
      <c r="E1402" s="695" t="s">
        <v>65</v>
      </c>
      <c r="F1402" s="687" t="s">
        <v>413</v>
      </c>
      <c r="G1402" s="706"/>
      <c r="H1402" s="706"/>
      <c r="I1402" s="707"/>
      <c r="J1402" s="690"/>
      <c r="K1402" s="693"/>
      <c r="L1402" s="690"/>
      <c r="M1402" s="690"/>
      <c r="N1402" s="708"/>
      <c r="O1402" s="648"/>
      <c r="P1402" s="648"/>
      <c r="R1402" s="626"/>
      <c r="T1402" s="633"/>
      <c r="U1402" s="632"/>
    </row>
    <row r="1403" spans="2:21" ht="19.149999999999999" customHeight="1">
      <c r="B1403" s="606" t="s">
        <v>413</v>
      </c>
      <c r="C1403" s="654">
        <v>84</v>
      </c>
      <c r="D1403" s="607">
        <v>840</v>
      </c>
      <c r="E1403" s="608">
        <v>843501</v>
      </c>
      <c r="F1403" s="609" t="s">
        <v>1450</v>
      </c>
      <c r="G1403" s="610"/>
      <c r="H1403" s="610"/>
      <c r="I1403" s="611" t="s">
        <v>175</v>
      </c>
      <c r="J1403" s="616">
        <v>570</v>
      </c>
      <c r="K1403" s="613">
        <v>561</v>
      </c>
      <c r="L1403" s="616">
        <v>580</v>
      </c>
      <c r="M1403" s="616">
        <v>580</v>
      </c>
      <c r="N1403" s="614">
        <v>573.57159999999999</v>
      </c>
      <c r="O1403" s="648"/>
      <c r="P1403" s="648"/>
      <c r="R1403" s="626"/>
      <c r="T1403" s="633"/>
      <c r="U1403" s="634"/>
    </row>
    <row r="1404" spans="2:21" ht="21.5">
      <c r="B1404" s="606" t="s">
        <v>413</v>
      </c>
      <c r="C1404" s="654">
        <v>84</v>
      </c>
      <c r="D1404" s="607">
        <v>184</v>
      </c>
      <c r="E1404" s="608">
        <v>843502</v>
      </c>
      <c r="F1404" s="609" t="s">
        <v>2228</v>
      </c>
      <c r="G1404" s="610">
        <v>0.5</v>
      </c>
      <c r="H1404" s="610">
        <v>0.19355</v>
      </c>
      <c r="I1404" s="611" t="s">
        <v>669</v>
      </c>
      <c r="J1404" s="616">
        <v>85</v>
      </c>
      <c r="K1404" s="613">
        <v>65</v>
      </c>
      <c r="L1404" s="616">
        <v>85</v>
      </c>
      <c r="M1404" s="616">
        <v>85</v>
      </c>
      <c r="N1404" s="614">
        <v>29.408830000000002</v>
      </c>
      <c r="O1404" s="648"/>
      <c r="P1404" s="648"/>
      <c r="R1404" s="626"/>
      <c r="T1404" s="633"/>
      <c r="U1404" s="634"/>
    </row>
    <row r="1405" spans="2:21" ht="19.149999999999999" customHeight="1">
      <c r="B1405" s="606" t="s">
        <v>413</v>
      </c>
      <c r="C1405" s="654">
        <v>84</v>
      </c>
      <c r="D1405" s="607">
        <v>755</v>
      </c>
      <c r="E1405" s="608">
        <v>843502</v>
      </c>
      <c r="F1405" s="609" t="s">
        <v>1769</v>
      </c>
      <c r="G1405" s="610"/>
      <c r="H1405" s="610"/>
      <c r="I1405" s="611" t="s">
        <v>44</v>
      </c>
      <c r="J1405" s="616">
        <v>10</v>
      </c>
      <c r="K1405" s="613">
        <v>9</v>
      </c>
      <c r="L1405" s="616">
        <v>10</v>
      </c>
      <c r="M1405" s="616">
        <v>10</v>
      </c>
      <c r="N1405" s="614">
        <v>3.577</v>
      </c>
      <c r="O1405" s="648"/>
      <c r="P1405" s="648"/>
      <c r="R1405" s="626"/>
      <c r="T1405" s="633"/>
      <c r="U1405" s="634"/>
    </row>
    <row r="1406" spans="2:21" ht="19.149999999999999" customHeight="1">
      <c r="B1406" s="606" t="s">
        <v>413</v>
      </c>
      <c r="C1406" s="654">
        <v>84</v>
      </c>
      <c r="D1406" s="607">
        <v>840</v>
      </c>
      <c r="E1406" s="608">
        <v>843502</v>
      </c>
      <c r="F1406" s="609" t="s">
        <v>2214</v>
      </c>
      <c r="G1406" s="610"/>
      <c r="H1406" s="610"/>
      <c r="I1406" s="611" t="s">
        <v>175</v>
      </c>
      <c r="J1406" s="616">
        <v>33</v>
      </c>
      <c r="K1406" s="613">
        <v>29</v>
      </c>
      <c r="L1406" s="616">
        <v>25</v>
      </c>
      <c r="M1406" s="616">
        <v>25</v>
      </c>
      <c r="N1406" s="614">
        <v>25.411999999999999</v>
      </c>
      <c r="O1406" s="648"/>
      <c r="P1406" s="648"/>
      <c r="R1406" s="626"/>
      <c r="T1406" s="633"/>
      <c r="U1406" s="634"/>
    </row>
    <row r="1407" spans="2:21" ht="19.149999999999999" customHeight="1">
      <c r="B1407" s="606" t="s">
        <v>413</v>
      </c>
      <c r="C1407" s="654">
        <v>84</v>
      </c>
      <c r="D1407" s="607">
        <v>100</v>
      </c>
      <c r="E1407" s="608">
        <v>843503</v>
      </c>
      <c r="F1407" s="609" t="s">
        <v>1577</v>
      </c>
      <c r="G1407" s="610">
        <v>0</v>
      </c>
      <c r="H1407" s="610">
        <v>0</v>
      </c>
      <c r="I1407" s="611" t="s">
        <v>669</v>
      </c>
      <c r="J1407" s="616">
        <v>35</v>
      </c>
      <c r="K1407" s="613">
        <v>24</v>
      </c>
      <c r="L1407" s="616">
        <v>35</v>
      </c>
      <c r="M1407" s="616">
        <v>35</v>
      </c>
      <c r="N1407" s="614">
        <v>0</v>
      </c>
      <c r="O1407" s="648"/>
      <c r="P1407" s="648"/>
      <c r="R1407" s="626"/>
      <c r="T1407" s="633"/>
      <c r="U1407" s="634"/>
    </row>
    <row r="1408" spans="2:21" ht="28">
      <c r="B1408" s="606" t="s">
        <v>413</v>
      </c>
      <c r="C1408" s="654">
        <v>84</v>
      </c>
      <c r="D1408" s="607">
        <v>184</v>
      </c>
      <c r="E1408" s="608">
        <v>843503</v>
      </c>
      <c r="F1408" s="609" t="s">
        <v>1909</v>
      </c>
      <c r="G1408" s="610">
        <v>0</v>
      </c>
      <c r="H1408" s="610">
        <v>0</v>
      </c>
      <c r="I1408" s="611" t="s">
        <v>669</v>
      </c>
      <c r="J1408" s="616">
        <v>0</v>
      </c>
      <c r="K1408" s="613">
        <v>0</v>
      </c>
      <c r="L1408" s="616">
        <v>0</v>
      </c>
      <c r="M1408" s="616">
        <v>0</v>
      </c>
      <c r="N1408" s="614">
        <v>2.5830199999999999</v>
      </c>
      <c r="O1408" s="648"/>
      <c r="P1408" s="648"/>
      <c r="R1408" s="626"/>
      <c r="T1408" s="633"/>
      <c r="U1408" s="634"/>
    </row>
    <row r="1409" spans="2:21" ht="19.149999999999999" customHeight="1">
      <c r="B1409" s="606" t="s">
        <v>413</v>
      </c>
      <c r="C1409" s="655">
        <v>84</v>
      </c>
      <c r="D1409" s="615">
        <v>710</v>
      </c>
      <c r="E1409" s="608">
        <v>843503</v>
      </c>
      <c r="F1409" s="609" t="s">
        <v>1564</v>
      </c>
      <c r="G1409" s="610"/>
      <c r="H1409" s="610"/>
      <c r="I1409" s="611" t="s">
        <v>175</v>
      </c>
      <c r="J1409" s="616">
        <v>110</v>
      </c>
      <c r="K1409" s="613">
        <v>72</v>
      </c>
      <c r="L1409" s="616">
        <v>117</v>
      </c>
      <c r="M1409" s="616">
        <v>136</v>
      </c>
      <c r="N1409" s="614">
        <v>106.94136</v>
      </c>
      <c r="O1409" s="648"/>
      <c r="P1409" s="648"/>
      <c r="R1409" s="626"/>
      <c r="T1409" s="633"/>
      <c r="U1409" s="634"/>
    </row>
    <row r="1410" spans="2:21" ht="19.149999999999999" customHeight="1">
      <c r="B1410" s="606" t="s">
        <v>413</v>
      </c>
      <c r="C1410" s="655">
        <v>84</v>
      </c>
      <c r="D1410" s="615">
        <v>755</v>
      </c>
      <c r="E1410" s="608">
        <v>843503</v>
      </c>
      <c r="F1410" s="609" t="s">
        <v>1534</v>
      </c>
      <c r="G1410" s="610"/>
      <c r="H1410" s="610"/>
      <c r="I1410" s="611" t="s">
        <v>44</v>
      </c>
      <c r="J1410" s="616">
        <v>31</v>
      </c>
      <c r="K1410" s="613">
        <v>8</v>
      </c>
      <c r="L1410" s="616">
        <v>8</v>
      </c>
      <c r="M1410" s="616">
        <v>52</v>
      </c>
      <c r="N1410" s="614">
        <v>45.046300000000002</v>
      </c>
      <c r="O1410" s="648"/>
      <c r="P1410" s="648"/>
      <c r="R1410" s="626"/>
      <c r="T1410" s="633"/>
      <c r="U1410" s="634"/>
    </row>
    <row r="1411" spans="2:21" ht="19.149999999999999" customHeight="1">
      <c r="B1411" s="606" t="s">
        <v>413</v>
      </c>
      <c r="C1411" s="655">
        <v>84</v>
      </c>
      <c r="D1411" s="615">
        <v>760</v>
      </c>
      <c r="E1411" s="608">
        <v>843503</v>
      </c>
      <c r="F1411" s="609" t="s">
        <v>1451</v>
      </c>
      <c r="G1411" s="610"/>
      <c r="H1411" s="610"/>
      <c r="I1411" s="611" t="s">
        <v>175</v>
      </c>
      <c r="J1411" s="616">
        <v>484</v>
      </c>
      <c r="K1411" s="613">
        <v>475</v>
      </c>
      <c r="L1411" s="616">
        <v>475</v>
      </c>
      <c r="M1411" s="616">
        <v>524</v>
      </c>
      <c r="N1411" s="614">
        <v>480.70100000000002</v>
      </c>
      <c r="O1411" s="648"/>
      <c r="P1411" s="648"/>
      <c r="R1411" s="626"/>
      <c r="T1411" s="633"/>
      <c r="U1411" s="634"/>
    </row>
    <row r="1412" spans="2:21" ht="28">
      <c r="B1412" s="606" t="s">
        <v>413</v>
      </c>
      <c r="C1412" s="655">
        <v>84</v>
      </c>
      <c r="D1412" s="615">
        <v>780</v>
      </c>
      <c r="E1412" s="608">
        <v>843503</v>
      </c>
      <c r="F1412" s="609" t="s">
        <v>2209</v>
      </c>
      <c r="G1412" s="610"/>
      <c r="H1412" s="610"/>
      <c r="I1412" s="611" t="s">
        <v>44</v>
      </c>
      <c r="J1412" s="616">
        <f>497-100</f>
        <v>397</v>
      </c>
      <c r="K1412" s="613">
        <v>569</v>
      </c>
      <c r="L1412" s="616">
        <v>569</v>
      </c>
      <c r="M1412" s="616">
        <v>523</v>
      </c>
      <c r="N1412" s="614">
        <v>478.46328000000005</v>
      </c>
      <c r="O1412" s="648"/>
      <c r="P1412" s="648"/>
      <c r="R1412" s="626"/>
      <c r="T1412" s="633"/>
      <c r="U1412" s="634"/>
    </row>
    <row r="1413" spans="2:21" ht="19.149999999999999" customHeight="1">
      <c r="B1413" s="606" t="s">
        <v>413</v>
      </c>
      <c r="C1413" s="654">
        <v>84</v>
      </c>
      <c r="D1413" s="607">
        <v>840</v>
      </c>
      <c r="E1413" s="608">
        <v>843503</v>
      </c>
      <c r="F1413" s="609" t="s">
        <v>1452</v>
      </c>
      <c r="G1413" s="610"/>
      <c r="H1413" s="610"/>
      <c r="I1413" s="611" t="s">
        <v>175</v>
      </c>
      <c r="J1413" s="616">
        <v>700</v>
      </c>
      <c r="K1413" s="613">
        <v>660</v>
      </c>
      <c r="L1413" s="616">
        <v>660</v>
      </c>
      <c r="M1413" s="616">
        <v>660</v>
      </c>
      <c r="N1413" s="614">
        <v>560.79764999999998</v>
      </c>
      <c r="O1413" s="648"/>
      <c r="P1413" s="648"/>
      <c r="R1413" s="626"/>
      <c r="T1413" s="633"/>
      <c r="U1413" s="634"/>
    </row>
    <row r="1414" spans="2:21" ht="19.149999999999999" customHeight="1">
      <c r="B1414" s="606" t="s">
        <v>413</v>
      </c>
      <c r="C1414" s="654">
        <v>84</v>
      </c>
      <c r="D1414" s="607">
        <v>184</v>
      </c>
      <c r="E1414" s="608">
        <v>843504</v>
      </c>
      <c r="F1414" s="609" t="s">
        <v>1453</v>
      </c>
      <c r="G1414" s="610">
        <v>15.8</v>
      </c>
      <c r="H1414" s="610">
        <v>15.325533333333333</v>
      </c>
      <c r="I1414" s="611" t="s">
        <v>669</v>
      </c>
      <c r="J1414" s="616">
        <v>2400</v>
      </c>
      <c r="K1414" s="613">
        <v>2277</v>
      </c>
      <c r="L1414" s="616">
        <v>2212</v>
      </c>
      <c r="M1414" s="616">
        <v>2212</v>
      </c>
      <c r="N1414" s="614">
        <v>2120.6757400000001</v>
      </c>
      <c r="O1414" s="648"/>
      <c r="P1414" s="648"/>
      <c r="R1414" s="626"/>
      <c r="T1414" s="633"/>
      <c r="U1414" s="634"/>
    </row>
    <row r="1415" spans="2:21" ht="19.149999999999999" customHeight="1">
      <c r="B1415" s="606" t="s">
        <v>413</v>
      </c>
      <c r="C1415" s="655">
        <v>84</v>
      </c>
      <c r="D1415" s="615">
        <v>710</v>
      </c>
      <c r="E1415" s="608">
        <v>843504</v>
      </c>
      <c r="F1415" s="609" t="s">
        <v>1454</v>
      </c>
      <c r="G1415" s="610"/>
      <c r="H1415" s="610"/>
      <c r="I1415" s="611" t="s">
        <v>175</v>
      </c>
      <c r="J1415" s="616">
        <v>495</v>
      </c>
      <c r="K1415" s="613">
        <v>377</v>
      </c>
      <c r="L1415" s="616">
        <v>415</v>
      </c>
      <c r="M1415" s="616">
        <v>465</v>
      </c>
      <c r="N1415" s="614">
        <v>467.54271</v>
      </c>
      <c r="O1415" s="648"/>
      <c r="P1415" s="648"/>
      <c r="R1415" s="626"/>
      <c r="T1415" s="633"/>
      <c r="U1415" s="634"/>
    </row>
    <row r="1416" spans="2:21" ht="19.149999999999999" customHeight="1">
      <c r="B1416" s="606" t="s">
        <v>413</v>
      </c>
      <c r="C1416" s="654">
        <v>84</v>
      </c>
      <c r="D1416" s="607">
        <v>755</v>
      </c>
      <c r="E1416" s="608">
        <v>843504</v>
      </c>
      <c r="F1416" s="609" t="s">
        <v>1724</v>
      </c>
      <c r="G1416" s="610"/>
      <c r="H1416" s="610"/>
      <c r="I1416" s="611" t="s">
        <v>44</v>
      </c>
      <c r="J1416" s="616">
        <v>91</v>
      </c>
      <c r="K1416" s="613">
        <v>96</v>
      </c>
      <c r="L1416" s="616">
        <v>96</v>
      </c>
      <c r="M1416" s="616">
        <v>96</v>
      </c>
      <c r="N1416" s="614">
        <v>79.77028</v>
      </c>
      <c r="O1416" s="648"/>
      <c r="P1416" s="648"/>
      <c r="R1416" s="626"/>
      <c r="T1416" s="633"/>
      <c r="U1416" s="634"/>
    </row>
    <row r="1417" spans="2:21" ht="19.149999999999999" customHeight="1">
      <c r="B1417" s="606" t="s">
        <v>413</v>
      </c>
      <c r="C1417" s="654">
        <v>84</v>
      </c>
      <c r="D1417" s="607">
        <v>840</v>
      </c>
      <c r="E1417" s="608">
        <v>843504</v>
      </c>
      <c r="F1417" s="609" t="s">
        <v>1455</v>
      </c>
      <c r="G1417" s="610"/>
      <c r="H1417" s="610"/>
      <c r="I1417" s="611" t="s">
        <v>175</v>
      </c>
      <c r="J1417" s="616">
        <v>450</v>
      </c>
      <c r="K1417" s="613">
        <v>450</v>
      </c>
      <c r="L1417" s="616">
        <v>450</v>
      </c>
      <c r="M1417" s="616">
        <v>450</v>
      </c>
      <c r="N1417" s="614">
        <v>371.36144000000002</v>
      </c>
      <c r="O1417" s="648"/>
      <c r="P1417" s="648"/>
      <c r="R1417" s="626"/>
      <c r="T1417" s="633"/>
      <c r="U1417" s="634"/>
    </row>
    <row r="1418" spans="2:21" ht="19.149999999999999" customHeight="1">
      <c r="B1418" s="606" t="s">
        <v>413</v>
      </c>
      <c r="C1418" s="654">
        <v>84</v>
      </c>
      <c r="D1418" s="607">
        <v>841</v>
      </c>
      <c r="E1418" s="608">
        <v>843504</v>
      </c>
      <c r="F1418" s="609" t="s">
        <v>1565</v>
      </c>
      <c r="G1418" s="610"/>
      <c r="H1418" s="610"/>
      <c r="I1418" s="611" t="s">
        <v>44</v>
      </c>
      <c r="J1418" s="616">
        <v>0</v>
      </c>
      <c r="K1418" s="613">
        <v>0</v>
      </c>
      <c r="L1418" s="616">
        <v>0</v>
      </c>
      <c r="M1418" s="616">
        <v>0</v>
      </c>
      <c r="N1418" s="614">
        <v>4.0233800000000004</v>
      </c>
      <c r="O1418" s="648"/>
      <c r="P1418" s="648"/>
      <c r="R1418" s="626"/>
      <c r="T1418" s="633"/>
      <c r="U1418" s="634"/>
    </row>
    <row r="1419" spans="2:21" ht="19.149999999999999" customHeight="1">
      <c r="B1419" s="606" t="s">
        <v>413</v>
      </c>
      <c r="C1419" s="654">
        <v>84</v>
      </c>
      <c r="D1419" s="607">
        <v>184</v>
      </c>
      <c r="E1419" s="608">
        <v>843506</v>
      </c>
      <c r="F1419" s="609" t="s">
        <v>1797</v>
      </c>
      <c r="G1419" s="610">
        <v>1.25</v>
      </c>
      <c r="H1419" s="610">
        <v>0.87356666666666671</v>
      </c>
      <c r="I1419" s="611" t="s">
        <v>669</v>
      </c>
      <c r="J1419" s="616">
        <v>225</v>
      </c>
      <c r="K1419" s="613">
        <v>177</v>
      </c>
      <c r="L1419" s="616">
        <v>219</v>
      </c>
      <c r="M1419" s="616">
        <v>219</v>
      </c>
      <c r="N1419" s="614">
        <v>64.295630000000003</v>
      </c>
      <c r="O1419" s="648"/>
      <c r="P1419" s="648"/>
      <c r="R1419" s="626"/>
      <c r="T1419" s="633"/>
      <c r="U1419" s="634"/>
    </row>
    <row r="1420" spans="2:21" ht="19.149999999999999" customHeight="1">
      <c r="B1420" s="606" t="s">
        <v>413</v>
      </c>
      <c r="C1420" s="654">
        <v>84</v>
      </c>
      <c r="D1420" s="607">
        <v>840</v>
      </c>
      <c r="E1420" s="608">
        <v>843506</v>
      </c>
      <c r="F1420" s="609" t="s">
        <v>1456</v>
      </c>
      <c r="G1420" s="610"/>
      <c r="H1420" s="610"/>
      <c r="I1420" s="611" t="s">
        <v>175</v>
      </c>
      <c r="J1420" s="616">
        <v>160</v>
      </c>
      <c r="K1420" s="613">
        <v>153</v>
      </c>
      <c r="L1420" s="616">
        <v>130</v>
      </c>
      <c r="M1420" s="616">
        <v>130</v>
      </c>
      <c r="N1420" s="614">
        <v>110.06699999999999</v>
      </c>
      <c r="O1420" s="648"/>
      <c r="P1420" s="648"/>
      <c r="R1420" s="626"/>
      <c r="T1420" s="633"/>
      <c r="U1420" s="634"/>
    </row>
    <row r="1421" spans="2:21" ht="19.149999999999999" customHeight="1">
      <c r="B1421" s="606" t="s">
        <v>413</v>
      </c>
      <c r="C1421" s="654">
        <v>84</v>
      </c>
      <c r="D1421" s="607">
        <v>840</v>
      </c>
      <c r="E1421" s="608">
        <v>843507</v>
      </c>
      <c r="F1421" s="609" t="s">
        <v>1539</v>
      </c>
      <c r="G1421" s="610"/>
      <c r="H1421" s="610"/>
      <c r="I1421" s="611" t="s">
        <v>175</v>
      </c>
      <c r="J1421" s="616">
        <v>0</v>
      </c>
      <c r="K1421" s="613">
        <v>0</v>
      </c>
      <c r="L1421" s="616">
        <v>6</v>
      </c>
      <c r="M1421" s="616">
        <v>6</v>
      </c>
      <c r="N1421" s="614">
        <v>5</v>
      </c>
      <c r="O1421" s="648"/>
      <c r="P1421" s="648"/>
      <c r="R1421" s="626"/>
      <c r="T1421" s="633"/>
      <c r="U1421" s="634"/>
    </row>
    <row r="1422" spans="2:21" ht="19.149999999999999" customHeight="1">
      <c r="B1422" s="606" t="s">
        <v>413</v>
      </c>
      <c r="C1422" s="655">
        <v>84</v>
      </c>
      <c r="D1422" s="615">
        <v>840</v>
      </c>
      <c r="E1422" s="608">
        <v>843801</v>
      </c>
      <c r="F1422" s="609" t="s">
        <v>1457</v>
      </c>
      <c r="G1422" s="610"/>
      <c r="H1422" s="610"/>
      <c r="I1422" s="611" t="s">
        <v>175</v>
      </c>
      <c r="J1422" s="616">
        <v>5600</v>
      </c>
      <c r="K1422" s="613">
        <v>5226</v>
      </c>
      <c r="L1422" s="616">
        <v>5228</v>
      </c>
      <c r="M1422" s="616">
        <v>5560</v>
      </c>
      <c r="N1422" s="614">
        <v>5510.43</v>
      </c>
      <c r="O1422" s="648"/>
      <c r="P1422" s="648"/>
      <c r="R1422" s="626"/>
      <c r="T1422" s="633"/>
      <c r="U1422" s="634"/>
    </row>
    <row r="1423" spans="2:21" ht="19.149999999999999" customHeight="1">
      <c r="B1423" s="606" t="s">
        <v>413</v>
      </c>
      <c r="C1423" s="655">
        <v>84</v>
      </c>
      <c r="D1423" s="615">
        <v>710</v>
      </c>
      <c r="E1423" s="608">
        <v>843901</v>
      </c>
      <c r="F1423" s="609" t="s">
        <v>1566</v>
      </c>
      <c r="G1423" s="610"/>
      <c r="H1423" s="610"/>
      <c r="I1423" s="611" t="s">
        <v>175</v>
      </c>
      <c r="J1423" s="616">
        <v>255</v>
      </c>
      <c r="K1423" s="613">
        <v>160</v>
      </c>
      <c r="L1423" s="616">
        <v>220</v>
      </c>
      <c r="M1423" s="616">
        <v>260</v>
      </c>
      <c r="N1423" s="614">
        <v>255.83876999999998</v>
      </c>
      <c r="O1423" s="648"/>
      <c r="P1423" s="648"/>
      <c r="R1423" s="626"/>
      <c r="T1423" s="633"/>
      <c r="U1423" s="634"/>
    </row>
    <row r="1424" spans="2:21" ht="19.149999999999999" customHeight="1">
      <c r="B1424" s="606" t="s">
        <v>413</v>
      </c>
      <c r="C1424" s="654">
        <v>84</v>
      </c>
      <c r="D1424" s="607">
        <v>810</v>
      </c>
      <c r="E1424" s="608">
        <v>843901</v>
      </c>
      <c r="F1424" s="609" t="s">
        <v>1458</v>
      </c>
      <c r="G1424" s="610"/>
      <c r="H1424" s="610"/>
      <c r="I1424" s="611" t="s">
        <v>175</v>
      </c>
      <c r="J1424" s="616">
        <v>150</v>
      </c>
      <c r="K1424" s="613">
        <v>120</v>
      </c>
      <c r="L1424" s="616">
        <v>150</v>
      </c>
      <c r="M1424" s="616">
        <v>150</v>
      </c>
      <c r="N1424" s="614">
        <v>151.45699999999999</v>
      </c>
      <c r="O1424" s="648"/>
      <c r="P1424" s="648"/>
      <c r="R1424" s="626"/>
      <c r="T1424" s="633"/>
      <c r="U1424" s="634"/>
    </row>
    <row r="1425" spans="2:26" ht="19.149999999999999" customHeight="1">
      <c r="B1425" s="606" t="s">
        <v>413</v>
      </c>
      <c r="C1425" s="655">
        <v>84</v>
      </c>
      <c r="D1425" s="615">
        <v>840</v>
      </c>
      <c r="E1425" s="608">
        <v>843901</v>
      </c>
      <c r="F1425" s="609" t="s">
        <v>1567</v>
      </c>
      <c r="G1425" s="610"/>
      <c r="H1425" s="610"/>
      <c r="I1425" s="611" t="s">
        <v>175</v>
      </c>
      <c r="J1425" s="616">
        <v>1440</v>
      </c>
      <c r="K1425" s="613">
        <v>1270</v>
      </c>
      <c r="L1425" s="616">
        <v>1290</v>
      </c>
      <c r="M1425" s="616">
        <v>1560</v>
      </c>
      <c r="N1425" s="614">
        <v>1424.4169999999999</v>
      </c>
      <c r="O1425" s="648"/>
      <c r="P1425" s="648"/>
      <c r="R1425" s="626"/>
      <c r="T1425" s="633"/>
      <c r="U1425" s="634"/>
    </row>
    <row r="1426" spans="2:26" ht="19.149999999999999" customHeight="1">
      <c r="B1426" s="747"/>
      <c r="C1426" s="656"/>
      <c r="D1426" s="618"/>
      <c r="E1426" s="619" t="s">
        <v>65</v>
      </c>
      <c r="F1426" s="830" t="s">
        <v>989</v>
      </c>
      <c r="G1426" s="621">
        <f>SUM(G1403:G1425)</f>
        <v>17.55</v>
      </c>
      <c r="H1426" s="621">
        <f>SUM(H1403:H1425)</f>
        <v>16.39265</v>
      </c>
      <c r="I1426" s="622"/>
      <c r="J1426" s="623">
        <f>SUM(J1402:J1425)</f>
        <v>13721</v>
      </c>
      <c r="K1426" s="624">
        <f>SUM(K1402:K1425)</f>
        <v>12778</v>
      </c>
      <c r="L1426" s="623">
        <f>SUM(L1402:L1425)</f>
        <v>12980</v>
      </c>
      <c r="M1426" s="623">
        <f>SUM(M1402:M1425)</f>
        <v>13738</v>
      </c>
      <c r="N1426" s="625">
        <f>SUM(N1402:N1425)</f>
        <v>12871.38099</v>
      </c>
      <c r="O1426" s="648"/>
      <c r="P1426" s="648"/>
      <c r="R1426" s="626"/>
      <c r="T1426" s="633"/>
      <c r="U1426" s="632"/>
    </row>
    <row r="1427" spans="2:26" ht="19.149999999999999" customHeight="1">
      <c r="B1427" s="704"/>
      <c r="C1427" s="684"/>
      <c r="D1427" s="705"/>
      <c r="E1427" s="695" t="s">
        <v>34</v>
      </c>
      <c r="F1427" s="687" t="s">
        <v>1106</v>
      </c>
      <c r="G1427" s="706"/>
      <c r="H1427" s="706"/>
      <c r="I1427" s="707"/>
      <c r="J1427" s="690"/>
      <c r="K1427" s="693"/>
      <c r="L1427" s="690"/>
      <c r="M1427" s="690"/>
      <c r="N1427" s="708"/>
      <c r="O1427" s="648"/>
      <c r="P1427" s="648"/>
      <c r="R1427" s="626"/>
      <c r="T1427" s="633"/>
      <c r="U1427" s="632"/>
    </row>
    <row r="1428" spans="2:26" ht="19.149999999999999" customHeight="1">
      <c r="B1428" s="606" t="s">
        <v>1106</v>
      </c>
      <c r="C1428" s="655">
        <v>84</v>
      </c>
      <c r="D1428" s="615">
        <v>840</v>
      </c>
      <c r="E1428" s="608">
        <v>844301</v>
      </c>
      <c r="F1428" s="609" t="s">
        <v>1460</v>
      </c>
      <c r="G1428" s="610"/>
      <c r="H1428" s="610"/>
      <c r="I1428" s="611" t="s">
        <v>175</v>
      </c>
      <c r="J1428" s="616">
        <v>4472</v>
      </c>
      <c r="K1428" s="613">
        <v>4050</v>
      </c>
      <c r="L1428" s="616">
        <v>3853</v>
      </c>
      <c r="M1428" s="616">
        <v>3660</v>
      </c>
      <c r="N1428" s="614">
        <v>3645.43</v>
      </c>
      <c r="O1428" s="648"/>
      <c r="P1428" s="648"/>
      <c r="R1428" s="626"/>
      <c r="T1428" s="633"/>
      <c r="U1428" s="634"/>
    </row>
    <row r="1429" spans="2:26" ht="19.149999999999999" customHeight="1">
      <c r="B1429" s="606" t="s">
        <v>1106</v>
      </c>
      <c r="C1429" s="654">
        <v>84</v>
      </c>
      <c r="D1429" s="607">
        <v>840</v>
      </c>
      <c r="E1429" s="608">
        <v>844302</v>
      </c>
      <c r="F1429" s="609" t="s">
        <v>2229</v>
      </c>
      <c r="G1429" s="610"/>
      <c r="H1429" s="610"/>
      <c r="I1429" s="611" t="s">
        <v>175</v>
      </c>
      <c r="J1429" s="616">
        <v>30</v>
      </c>
      <c r="K1429" s="613">
        <v>15</v>
      </c>
      <c r="L1429" s="616">
        <v>20</v>
      </c>
      <c r="M1429" s="616">
        <v>20</v>
      </c>
      <c r="N1429" s="614">
        <v>29.44</v>
      </c>
      <c r="O1429" s="648"/>
      <c r="P1429" s="648"/>
      <c r="R1429" s="626"/>
      <c r="T1429" s="633"/>
      <c r="U1429" s="634"/>
    </row>
    <row r="1430" spans="2:26" ht="19.149999999999999" customHeight="1">
      <c r="B1430" s="606" t="s">
        <v>1106</v>
      </c>
      <c r="C1430" s="654">
        <v>84</v>
      </c>
      <c r="D1430" s="607">
        <v>840</v>
      </c>
      <c r="E1430" s="608">
        <v>844401</v>
      </c>
      <c r="F1430" s="609" t="s">
        <v>1462</v>
      </c>
      <c r="G1430" s="610"/>
      <c r="H1430" s="610"/>
      <c r="I1430" s="611" t="s">
        <v>175</v>
      </c>
      <c r="J1430" s="616">
        <v>130</v>
      </c>
      <c r="K1430" s="613">
        <v>100</v>
      </c>
      <c r="L1430" s="616">
        <v>100</v>
      </c>
      <c r="M1430" s="616">
        <v>100</v>
      </c>
      <c r="N1430" s="614">
        <v>103.096</v>
      </c>
      <c r="O1430" s="648"/>
      <c r="P1430" s="648"/>
      <c r="R1430" s="626"/>
      <c r="T1430" s="633"/>
      <c r="U1430" s="634"/>
    </row>
    <row r="1431" spans="2:26" ht="19.149999999999999" customHeight="1">
      <c r="B1431" s="606" t="s">
        <v>1106</v>
      </c>
      <c r="C1431" s="654">
        <v>84</v>
      </c>
      <c r="D1431" s="607">
        <v>760</v>
      </c>
      <c r="E1431" s="608">
        <v>844402</v>
      </c>
      <c r="F1431" s="609" t="s">
        <v>1463</v>
      </c>
      <c r="G1431" s="610"/>
      <c r="H1431" s="610"/>
      <c r="I1431" s="611" t="s">
        <v>44</v>
      </c>
      <c r="J1431" s="616">
        <v>543</v>
      </c>
      <c r="K1431" s="613">
        <v>543</v>
      </c>
      <c r="L1431" s="616">
        <v>543</v>
      </c>
      <c r="M1431" s="616">
        <v>543</v>
      </c>
      <c r="N1431" s="614">
        <v>543</v>
      </c>
      <c r="O1431" s="648"/>
      <c r="P1431" s="648"/>
      <c r="R1431" s="626"/>
      <c r="T1431" s="633"/>
      <c r="U1431" s="634"/>
    </row>
    <row r="1432" spans="2:26" ht="19.149999999999999" customHeight="1">
      <c r="B1432" s="606" t="s">
        <v>1106</v>
      </c>
      <c r="C1432" s="654">
        <v>84</v>
      </c>
      <c r="D1432" s="607">
        <v>780</v>
      </c>
      <c r="E1432" s="608">
        <v>844402</v>
      </c>
      <c r="F1432" s="609" t="s">
        <v>1464</v>
      </c>
      <c r="G1432" s="610"/>
      <c r="H1432" s="610"/>
      <c r="I1432" s="611" t="s">
        <v>44</v>
      </c>
      <c r="J1432" s="616">
        <v>68</v>
      </c>
      <c r="K1432" s="613">
        <v>68</v>
      </c>
      <c r="L1432" s="616">
        <v>68</v>
      </c>
      <c r="M1432" s="616">
        <v>68</v>
      </c>
      <c r="N1432" s="614">
        <v>68</v>
      </c>
      <c r="O1432" s="648"/>
      <c r="P1432" s="648"/>
      <c r="R1432" s="626"/>
      <c r="T1432" s="633"/>
      <c r="U1432" s="634"/>
    </row>
    <row r="1433" spans="2:26" ht="19.149999999999999" customHeight="1">
      <c r="B1433" s="606" t="s">
        <v>1106</v>
      </c>
      <c r="C1433" s="655">
        <v>7</v>
      </c>
      <c r="D1433" s="615">
        <v>820</v>
      </c>
      <c r="E1433" s="608">
        <v>844402</v>
      </c>
      <c r="F1433" s="609" t="s">
        <v>879</v>
      </c>
      <c r="G1433" s="610"/>
      <c r="H1433" s="610"/>
      <c r="I1433" s="611" t="s">
        <v>175</v>
      </c>
      <c r="J1433" s="616">
        <v>107</v>
      </c>
      <c r="K1433" s="613">
        <v>107</v>
      </c>
      <c r="L1433" s="616">
        <v>107</v>
      </c>
      <c r="M1433" s="616">
        <v>125</v>
      </c>
      <c r="N1433" s="614">
        <v>111.40900000000001</v>
      </c>
      <c r="O1433" s="648"/>
      <c r="P1433" s="648"/>
      <c r="R1433" s="626"/>
      <c r="T1433" s="633"/>
      <c r="U1433" s="634"/>
      <c r="Z1433" s="216"/>
    </row>
    <row r="1434" spans="2:26" ht="14">
      <c r="B1434" s="606" t="s">
        <v>1106</v>
      </c>
      <c r="C1434" s="654">
        <v>84</v>
      </c>
      <c r="D1434" s="607">
        <v>840</v>
      </c>
      <c r="E1434" s="608">
        <v>844402</v>
      </c>
      <c r="F1434" s="609" t="s">
        <v>1465</v>
      </c>
      <c r="G1434" s="610"/>
      <c r="H1434" s="610"/>
      <c r="I1434" s="611" t="s">
        <v>175</v>
      </c>
      <c r="J1434" s="616">
        <v>230</v>
      </c>
      <c r="K1434" s="613">
        <v>200</v>
      </c>
      <c r="L1434" s="616">
        <v>225</v>
      </c>
      <c r="M1434" s="616">
        <v>225</v>
      </c>
      <c r="N1434" s="614">
        <v>151.21664999999999</v>
      </c>
      <c r="O1434" s="648"/>
      <c r="P1434" s="648"/>
      <c r="R1434" s="626"/>
      <c r="T1434" s="633"/>
      <c r="U1434" s="634"/>
    </row>
    <row r="1435" spans="2:26" ht="19.149999999999999" customHeight="1">
      <c r="B1435" s="606" t="s">
        <v>1106</v>
      </c>
      <c r="C1435" s="654">
        <v>84</v>
      </c>
      <c r="D1435" s="607">
        <v>841</v>
      </c>
      <c r="E1435" s="608">
        <v>844402</v>
      </c>
      <c r="F1435" s="609" t="s">
        <v>1568</v>
      </c>
      <c r="G1435" s="610"/>
      <c r="H1435" s="610"/>
      <c r="I1435" s="611" t="s">
        <v>44</v>
      </c>
      <c r="J1435" s="616">
        <f>40</f>
        <v>40</v>
      </c>
      <c r="K1435" s="613">
        <v>0</v>
      </c>
      <c r="L1435" s="616">
        <v>0</v>
      </c>
      <c r="M1435" s="616">
        <v>0</v>
      </c>
      <c r="N1435" s="614">
        <v>2.1422099999999999</v>
      </c>
      <c r="O1435" s="648"/>
      <c r="P1435" s="648"/>
      <c r="R1435" s="626"/>
      <c r="T1435" s="633"/>
      <c r="U1435" s="634"/>
    </row>
    <row r="1436" spans="2:26" ht="19.149999999999999" customHeight="1">
      <c r="B1436" s="606" t="s">
        <v>1106</v>
      </c>
      <c r="C1436" s="654">
        <v>84</v>
      </c>
      <c r="D1436" s="607">
        <v>842</v>
      </c>
      <c r="E1436" s="608">
        <v>844402</v>
      </c>
      <c r="F1436" s="609" t="s">
        <v>1646</v>
      </c>
      <c r="G1436" s="610"/>
      <c r="H1436" s="610"/>
      <c r="I1436" s="611" t="s">
        <v>175</v>
      </c>
      <c r="J1436" s="616">
        <v>300</v>
      </c>
      <c r="K1436" s="613">
        <v>245</v>
      </c>
      <c r="L1436" s="616">
        <v>275</v>
      </c>
      <c r="M1436" s="616">
        <v>350</v>
      </c>
      <c r="N1436" s="614">
        <v>327.85899999999998</v>
      </c>
      <c r="O1436" s="648"/>
      <c r="P1436" s="648"/>
      <c r="R1436" s="626"/>
      <c r="T1436" s="633"/>
      <c r="U1436" s="634"/>
    </row>
    <row r="1437" spans="2:26" ht="19.149999999999999" customHeight="1">
      <c r="B1437" s="606" t="s">
        <v>1106</v>
      </c>
      <c r="C1437" s="654">
        <v>84</v>
      </c>
      <c r="D1437" s="607">
        <v>870</v>
      </c>
      <c r="E1437" s="608">
        <v>844402</v>
      </c>
      <c r="F1437" s="609" t="s">
        <v>1396</v>
      </c>
      <c r="G1437" s="610"/>
      <c r="H1437" s="610"/>
      <c r="I1437" s="611" t="s">
        <v>175</v>
      </c>
      <c r="J1437" s="616">
        <v>581</v>
      </c>
      <c r="K1437" s="613">
        <v>581</v>
      </c>
      <c r="L1437" s="616">
        <v>581</v>
      </c>
      <c r="M1437" s="616">
        <v>581</v>
      </c>
      <c r="N1437" s="614">
        <v>581</v>
      </c>
      <c r="O1437" s="648"/>
      <c r="P1437" s="648"/>
      <c r="R1437" s="626"/>
      <c r="T1437" s="633"/>
      <c r="U1437" s="634"/>
    </row>
    <row r="1438" spans="2:26" ht="28">
      <c r="B1438" s="606" t="s">
        <v>1106</v>
      </c>
      <c r="C1438" s="654">
        <v>82</v>
      </c>
      <c r="D1438" s="607">
        <v>871</v>
      </c>
      <c r="E1438" s="608">
        <v>844402</v>
      </c>
      <c r="F1438" s="609" t="s">
        <v>1992</v>
      </c>
      <c r="G1438" s="610"/>
      <c r="H1438" s="610"/>
      <c r="I1438" s="611" t="s">
        <v>175</v>
      </c>
      <c r="J1438" s="616">
        <v>80</v>
      </c>
      <c r="K1438" s="613">
        <v>80</v>
      </c>
      <c r="L1438" s="616">
        <v>80</v>
      </c>
      <c r="M1438" s="616">
        <v>80</v>
      </c>
      <c r="N1438" s="614">
        <v>61</v>
      </c>
      <c r="O1438" s="648"/>
      <c r="P1438" s="648"/>
      <c r="R1438" s="626"/>
      <c r="T1438" s="633"/>
      <c r="U1438" s="634"/>
    </row>
    <row r="1439" spans="2:26" ht="28">
      <c r="B1439" s="606" t="s">
        <v>1106</v>
      </c>
      <c r="C1439" s="654">
        <v>84</v>
      </c>
      <c r="D1439" s="607">
        <v>100</v>
      </c>
      <c r="E1439" s="608">
        <v>844403</v>
      </c>
      <c r="F1439" s="609" t="s">
        <v>2306</v>
      </c>
      <c r="G1439" s="610">
        <v>2</v>
      </c>
      <c r="H1439" s="610">
        <v>0</v>
      </c>
      <c r="I1439" s="611" t="s">
        <v>669</v>
      </c>
      <c r="J1439" s="616">
        <v>300</v>
      </c>
      <c r="K1439" s="613">
        <v>0</v>
      </c>
      <c r="L1439" s="616">
        <v>100</v>
      </c>
      <c r="M1439" s="616">
        <v>0</v>
      </c>
      <c r="N1439" s="614">
        <v>0</v>
      </c>
      <c r="O1439" s="648"/>
      <c r="P1439" s="648"/>
      <c r="R1439" s="626"/>
      <c r="T1439" s="633"/>
      <c r="U1439" s="634"/>
    </row>
    <row r="1440" spans="2:26" ht="19.149999999999999" customHeight="1">
      <c r="B1440" s="606" t="s">
        <v>1106</v>
      </c>
      <c r="C1440" s="654">
        <v>84</v>
      </c>
      <c r="D1440" s="607">
        <v>840</v>
      </c>
      <c r="E1440" s="608">
        <v>844403</v>
      </c>
      <c r="F1440" s="609" t="s">
        <v>1466</v>
      </c>
      <c r="G1440" s="610"/>
      <c r="H1440" s="610"/>
      <c r="I1440" s="611" t="s">
        <v>175</v>
      </c>
      <c r="J1440" s="616">
        <v>695</v>
      </c>
      <c r="K1440" s="613">
        <v>800</v>
      </c>
      <c r="L1440" s="616">
        <v>760</v>
      </c>
      <c r="M1440" s="616">
        <v>760</v>
      </c>
      <c r="N1440" s="614">
        <v>675.58924999999999</v>
      </c>
      <c r="O1440" s="648"/>
      <c r="P1440" s="648"/>
      <c r="R1440" s="626"/>
      <c r="T1440" s="633"/>
      <c r="U1440" s="634"/>
    </row>
    <row r="1441" spans="2:21" ht="18.649999999999999" customHeight="1">
      <c r="B1441" s="606" t="s">
        <v>1106</v>
      </c>
      <c r="C1441" s="654">
        <v>84</v>
      </c>
      <c r="D1441" s="607">
        <v>841</v>
      </c>
      <c r="E1441" s="608">
        <v>844403</v>
      </c>
      <c r="F1441" s="609" t="s">
        <v>1569</v>
      </c>
      <c r="G1441" s="610"/>
      <c r="H1441" s="610"/>
      <c r="I1441" s="611" t="s">
        <v>44</v>
      </c>
      <c r="J1441" s="616">
        <f>220-22</f>
        <v>198</v>
      </c>
      <c r="K1441" s="613">
        <v>126</v>
      </c>
      <c r="L1441" s="616">
        <v>126</v>
      </c>
      <c r="M1441" s="616">
        <v>126</v>
      </c>
      <c r="N1441" s="614">
        <v>50.210010000000004</v>
      </c>
      <c r="O1441" s="648"/>
      <c r="P1441" s="648"/>
      <c r="R1441" s="626"/>
      <c r="T1441" s="633"/>
      <c r="U1441" s="634"/>
    </row>
    <row r="1442" spans="2:21" ht="18.649999999999999" customHeight="1">
      <c r="B1442" s="606" t="s">
        <v>1106</v>
      </c>
      <c r="C1442" s="654">
        <v>84</v>
      </c>
      <c r="D1442" s="607">
        <v>842</v>
      </c>
      <c r="E1442" s="608">
        <v>844403</v>
      </c>
      <c r="F1442" s="609" t="s">
        <v>1825</v>
      </c>
      <c r="G1442" s="610"/>
      <c r="H1442" s="610"/>
      <c r="I1442" s="611" t="s">
        <v>175</v>
      </c>
      <c r="J1442" s="616">
        <v>22</v>
      </c>
      <c r="K1442" s="613">
        <v>20</v>
      </c>
      <c r="L1442" s="616">
        <v>26</v>
      </c>
      <c r="M1442" s="616">
        <v>26</v>
      </c>
      <c r="N1442" s="614">
        <v>16.18</v>
      </c>
      <c r="O1442" s="648"/>
      <c r="P1442" s="648"/>
      <c r="R1442" s="626"/>
      <c r="T1442" s="633"/>
      <c r="U1442" s="634"/>
    </row>
    <row r="1443" spans="2:21" ht="28">
      <c r="B1443" s="606" t="s">
        <v>1106</v>
      </c>
      <c r="C1443" s="654">
        <v>84</v>
      </c>
      <c r="D1443" s="607">
        <v>980</v>
      </c>
      <c r="E1443" s="608">
        <v>844403</v>
      </c>
      <c r="F1443" s="609" t="s">
        <v>2308</v>
      </c>
      <c r="G1443" s="610"/>
      <c r="H1443" s="610"/>
      <c r="I1443" s="611" t="s">
        <v>44</v>
      </c>
      <c r="J1443" s="616">
        <v>0</v>
      </c>
      <c r="K1443" s="613">
        <v>272</v>
      </c>
      <c r="L1443" s="616">
        <v>272</v>
      </c>
      <c r="M1443" s="616">
        <v>0</v>
      </c>
      <c r="N1443" s="614">
        <v>0</v>
      </c>
      <c r="O1443" s="648"/>
      <c r="P1443" s="648"/>
      <c r="R1443" s="626"/>
      <c r="T1443" s="633"/>
      <c r="U1443" s="634"/>
    </row>
    <row r="1444" spans="2:21" ht="18.649999999999999" customHeight="1">
      <c r="B1444" s="606" t="s">
        <v>1106</v>
      </c>
      <c r="C1444" s="654">
        <v>84</v>
      </c>
      <c r="D1444" s="607">
        <v>840</v>
      </c>
      <c r="E1444" s="608">
        <v>844404</v>
      </c>
      <c r="F1444" s="609" t="s">
        <v>1645</v>
      </c>
      <c r="G1444" s="610"/>
      <c r="H1444" s="610"/>
      <c r="I1444" s="611" t="s">
        <v>175</v>
      </c>
      <c r="J1444" s="616">
        <v>540</v>
      </c>
      <c r="K1444" s="613">
        <v>525</v>
      </c>
      <c r="L1444" s="616">
        <v>515</v>
      </c>
      <c r="M1444" s="616">
        <v>515</v>
      </c>
      <c r="N1444" s="614">
        <v>490.63799999999998</v>
      </c>
      <c r="O1444" s="648"/>
      <c r="P1444" s="648"/>
      <c r="R1444" s="626"/>
      <c r="T1444" s="633"/>
      <c r="U1444" s="634"/>
    </row>
    <row r="1445" spans="2:21" ht="19.149999999999999" customHeight="1">
      <c r="B1445" s="606" t="s">
        <v>1106</v>
      </c>
      <c r="C1445" s="654">
        <v>84</v>
      </c>
      <c r="D1445" s="607">
        <v>841</v>
      </c>
      <c r="E1445" s="608">
        <v>844404</v>
      </c>
      <c r="F1445" s="609" t="s">
        <v>1743</v>
      </c>
      <c r="G1445" s="610"/>
      <c r="H1445" s="610"/>
      <c r="I1445" s="611" t="s">
        <v>175</v>
      </c>
      <c r="J1445" s="616">
        <v>0</v>
      </c>
      <c r="K1445" s="613">
        <v>0</v>
      </c>
      <c r="L1445" s="616">
        <v>0</v>
      </c>
      <c r="M1445" s="616">
        <v>0</v>
      </c>
      <c r="N1445" s="614">
        <v>8.8789999999999996</v>
      </c>
      <c r="O1445" s="648"/>
      <c r="P1445" s="648"/>
      <c r="R1445" s="626"/>
      <c r="T1445" s="633"/>
      <c r="U1445" s="634"/>
    </row>
    <row r="1446" spans="2:21" ht="19.149999999999999" customHeight="1">
      <c r="B1446" s="606" t="s">
        <v>1106</v>
      </c>
      <c r="C1446" s="654">
        <v>84</v>
      </c>
      <c r="D1446" s="607">
        <v>842</v>
      </c>
      <c r="E1446" s="608">
        <v>844404</v>
      </c>
      <c r="F1446" s="703" t="s">
        <v>1742</v>
      </c>
      <c r="G1446" s="610"/>
      <c r="H1446" s="610"/>
      <c r="I1446" s="611" t="s">
        <v>175</v>
      </c>
      <c r="J1446" s="616">
        <v>135</v>
      </c>
      <c r="K1446" s="613">
        <v>135</v>
      </c>
      <c r="L1446" s="616">
        <v>90</v>
      </c>
      <c r="M1446" s="616">
        <v>90</v>
      </c>
      <c r="N1446" s="614">
        <v>132.22399999999999</v>
      </c>
      <c r="O1446" s="648"/>
      <c r="P1446" s="648"/>
      <c r="R1446" s="626"/>
      <c r="T1446" s="633"/>
      <c r="U1446" s="634"/>
    </row>
    <row r="1447" spans="2:21" ht="19.149999999999999" customHeight="1">
      <c r="B1447" s="606" t="s">
        <v>1106</v>
      </c>
      <c r="C1447" s="654">
        <v>84</v>
      </c>
      <c r="D1447" s="607">
        <v>840</v>
      </c>
      <c r="E1447" s="608">
        <v>844405</v>
      </c>
      <c r="F1447" s="609" t="s">
        <v>1212</v>
      </c>
      <c r="G1447" s="610"/>
      <c r="H1447" s="610"/>
      <c r="I1447" s="611" t="s">
        <v>175</v>
      </c>
      <c r="J1447" s="616">
        <v>82</v>
      </c>
      <c r="K1447" s="613">
        <v>82</v>
      </c>
      <c r="L1447" s="616">
        <v>85</v>
      </c>
      <c r="M1447" s="616">
        <v>85</v>
      </c>
      <c r="N1447" s="614">
        <v>79.335999999999999</v>
      </c>
      <c r="O1447" s="648"/>
      <c r="P1447" s="648"/>
      <c r="R1447" s="626"/>
      <c r="T1447" s="633"/>
      <c r="U1447" s="634"/>
    </row>
    <row r="1448" spans="2:21" ht="28">
      <c r="B1448" s="606" t="s">
        <v>1106</v>
      </c>
      <c r="C1448" s="654">
        <v>84</v>
      </c>
      <c r="D1448" s="607">
        <v>100</v>
      </c>
      <c r="E1448" s="608">
        <v>844406</v>
      </c>
      <c r="F1448" s="609" t="s">
        <v>1908</v>
      </c>
      <c r="G1448" s="610">
        <v>0</v>
      </c>
      <c r="H1448" s="610">
        <v>0</v>
      </c>
      <c r="I1448" s="611" t="s">
        <v>669</v>
      </c>
      <c r="J1448" s="616">
        <v>0</v>
      </c>
      <c r="K1448" s="613">
        <v>0</v>
      </c>
      <c r="L1448" s="616">
        <v>0</v>
      </c>
      <c r="M1448" s="616">
        <v>0</v>
      </c>
      <c r="N1448" s="614">
        <v>3.9404299999999997</v>
      </c>
      <c r="O1448" s="648"/>
      <c r="P1448" s="648"/>
      <c r="R1448" s="626"/>
      <c r="T1448" s="633"/>
      <c r="U1448" s="634"/>
    </row>
    <row r="1449" spans="2:21" ht="28">
      <c r="B1449" s="606" t="s">
        <v>1106</v>
      </c>
      <c r="C1449" s="654">
        <v>84</v>
      </c>
      <c r="D1449" s="607">
        <v>780</v>
      </c>
      <c r="E1449" s="608">
        <v>844406</v>
      </c>
      <c r="F1449" s="609" t="s">
        <v>2003</v>
      </c>
      <c r="G1449" s="610"/>
      <c r="H1449" s="610"/>
      <c r="I1449" s="611" t="s">
        <v>44</v>
      </c>
      <c r="J1449" s="616">
        <v>0</v>
      </c>
      <c r="K1449" s="613">
        <v>0</v>
      </c>
      <c r="L1449" s="616">
        <v>0</v>
      </c>
      <c r="M1449" s="616">
        <v>0</v>
      </c>
      <c r="N1449" s="614">
        <v>13.71353</v>
      </c>
      <c r="O1449" s="648"/>
      <c r="P1449" s="648"/>
      <c r="R1449" s="626"/>
      <c r="T1449" s="633"/>
      <c r="U1449" s="634"/>
    </row>
    <row r="1450" spans="2:21" ht="19.149999999999999" customHeight="1">
      <c r="B1450" s="606" t="s">
        <v>1106</v>
      </c>
      <c r="C1450" s="654">
        <v>84</v>
      </c>
      <c r="D1450" s="607">
        <v>781</v>
      </c>
      <c r="E1450" s="608">
        <v>844406</v>
      </c>
      <c r="F1450" s="703" t="s">
        <v>2399</v>
      </c>
      <c r="G1450" s="610"/>
      <c r="H1450" s="610"/>
      <c r="I1450" s="611" t="s">
        <v>44</v>
      </c>
      <c r="J1450" s="616">
        <f>235-19+70</f>
        <v>286</v>
      </c>
      <c r="K1450" s="613">
        <v>155</v>
      </c>
      <c r="L1450" s="616">
        <v>155</v>
      </c>
      <c r="M1450" s="616">
        <v>234</v>
      </c>
      <c r="N1450" s="614">
        <v>58.927900000000001</v>
      </c>
      <c r="O1450" s="648"/>
      <c r="P1450" s="648"/>
      <c r="R1450" s="626"/>
      <c r="T1450" s="633"/>
      <c r="U1450" s="634"/>
    </row>
    <row r="1451" spans="2:21" ht="19.149999999999999" customHeight="1">
      <c r="B1451" s="606" t="s">
        <v>1106</v>
      </c>
      <c r="C1451" s="654">
        <v>84</v>
      </c>
      <c r="D1451" s="607">
        <v>780</v>
      </c>
      <c r="E1451" s="608">
        <v>844501</v>
      </c>
      <c r="F1451" s="703" t="s">
        <v>1579</v>
      </c>
      <c r="G1451" s="610"/>
      <c r="H1451" s="610"/>
      <c r="I1451" s="611" t="s">
        <v>44</v>
      </c>
      <c r="J1451" s="616">
        <v>35</v>
      </c>
      <c r="K1451" s="613">
        <v>31</v>
      </c>
      <c r="L1451" s="616">
        <v>31</v>
      </c>
      <c r="M1451" s="616">
        <v>31</v>
      </c>
      <c r="N1451" s="614">
        <v>31</v>
      </c>
      <c r="O1451" s="648"/>
      <c r="P1451" s="648"/>
      <c r="R1451" s="626"/>
      <c r="T1451" s="633"/>
      <c r="U1451" s="634"/>
    </row>
    <row r="1452" spans="2:21" ht="19.149999999999999" customHeight="1">
      <c r="B1452" s="606" t="s">
        <v>1106</v>
      </c>
      <c r="C1452" s="655">
        <v>84</v>
      </c>
      <c r="D1452" s="615">
        <v>840</v>
      </c>
      <c r="E1452" s="608">
        <v>844501</v>
      </c>
      <c r="F1452" s="703" t="s">
        <v>1467</v>
      </c>
      <c r="G1452" s="610"/>
      <c r="H1452" s="610"/>
      <c r="I1452" s="611" t="s">
        <v>175</v>
      </c>
      <c r="J1452" s="616">
        <v>600</v>
      </c>
      <c r="K1452" s="613">
        <v>580</v>
      </c>
      <c r="L1452" s="616">
        <v>585</v>
      </c>
      <c r="M1452" s="616">
        <v>550</v>
      </c>
      <c r="N1452" s="614">
        <v>578.01800000000003</v>
      </c>
      <c r="O1452" s="648"/>
      <c r="P1452" s="648"/>
      <c r="R1452" s="626"/>
      <c r="T1452" s="633"/>
      <c r="U1452" s="634"/>
    </row>
    <row r="1453" spans="2:21" ht="19.149999999999999" customHeight="1">
      <c r="B1453" s="606" t="s">
        <v>1106</v>
      </c>
      <c r="C1453" s="654">
        <v>84</v>
      </c>
      <c r="D1453" s="607">
        <v>780</v>
      </c>
      <c r="E1453" s="608">
        <v>844503</v>
      </c>
      <c r="F1453" s="703" t="s">
        <v>1585</v>
      </c>
      <c r="G1453" s="610"/>
      <c r="H1453" s="610"/>
      <c r="I1453" s="611" t="s">
        <v>44</v>
      </c>
      <c r="J1453" s="616">
        <v>100</v>
      </c>
      <c r="K1453" s="613">
        <v>100</v>
      </c>
      <c r="L1453" s="616">
        <v>100</v>
      </c>
      <c r="M1453" s="616">
        <v>100</v>
      </c>
      <c r="N1453" s="614">
        <v>0</v>
      </c>
      <c r="O1453" s="648"/>
      <c r="P1453" s="648"/>
      <c r="R1453" s="626"/>
      <c r="T1453" s="633"/>
      <c r="U1453" s="634"/>
    </row>
    <row r="1454" spans="2:21" ht="19.149999999999999" customHeight="1">
      <c r="B1454" s="747"/>
      <c r="C1454" s="656"/>
      <c r="D1454" s="618"/>
      <c r="E1454" s="619" t="s">
        <v>34</v>
      </c>
      <c r="F1454" s="620" t="s">
        <v>1074</v>
      </c>
      <c r="G1454" s="621">
        <f>SUM(G1428:G1453)</f>
        <v>2</v>
      </c>
      <c r="H1454" s="621">
        <f>SUM(H1428:H1453)</f>
        <v>0</v>
      </c>
      <c r="I1454" s="622"/>
      <c r="J1454" s="623">
        <f>SUM(J1428:J1453)</f>
        <v>9574</v>
      </c>
      <c r="K1454" s="624">
        <f>SUM(K1428:K1453)</f>
        <v>8815</v>
      </c>
      <c r="L1454" s="623">
        <f>SUM(L1428:L1453)</f>
        <v>8697</v>
      </c>
      <c r="M1454" s="623">
        <f>SUM(M1428:M1453)</f>
        <v>8269</v>
      </c>
      <c r="N1454" s="625">
        <f>SUM(N1428:N1453)</f>
        <v>7762.2489800000003</v>
      </c>
      <c r="O1454" s="648"/>
      <c r="P1454" s="648"/>
      <c r="R1454" s="626"/>
      <c r="T1454" s="633"/>
      <c r="U1454" s="632"/>
    </row>
    <row r="1455" spans="2:21" ht="19.149999999999999" customHeight="1">
      <c r="B1455" s="704"/>
      <c r="C1455" s="684"/>
      <c r="D1455" s="705"/>
      <c r="E1455" s="695" t="s">
        <v>675</v>
      </c>
      <c r="F1455" s="687" t="s">
        <v>1752</v>
      </c>
      <c r="G1455" s="706"/>
      <c r="H1455" s="706"/>
      <c r="I1455" s="707"/>
      <c r="J1455" s="690"/>
      <c r="K1455" s="693"/>
      <c r="L1455" s="690"/>
      <c r="M1455" s="690"/>
      <c r="N1455" s="708"/>
      <c r="O1455" s="648"/>
      <c r="P1455" s="648"/>
      <c r="R1455" s="626"/>
      <c r="T1455" s="633"/>
      <c r="U1455" s="632"/>
    </row>
    <row r="1456" spans="2:21" ht="19.149999999999999" customHeight="1">
      <c r="B1456" s="606" t="s">
        <v>1752</v>
      </c>
      <c r="C1456" s="654">
        <v>84</v>
      </c>
      <c r="D1456" s="607">
        <v>780</v>
      </c>
      <c r="E1456" s="608">
        <v>845101</v>
      </c>
      <c r="F1456" s="609" t="s">
        <v>1570</v>
      </c>
      <c r="G1456" s="610"/>
      <c r="H1456" s="610"/>
      <c r="I1456" s="611" t="s">
        <v>44</v>
      </c>
      <c r="J1456" s="616">
        <v>0</v>
      </c>
      <c r="K1456" s="613">
        <v>0</v>
      </c>
      <c r="L1456" s="616">
        <v>0</v>
      </c>
      <c r="M1456" s="616">
        <v>0</v>
      </c>
      <c r="N1456" s="614">
        <v>105.34299</v>
      </c>
      <c r="O1456" s="648"/>
      <c r="P1456" s="648"/>
      <c r="R1456" s="626"/>
      <c r="T1456" s="633"/>
      <c r="U1456" s="634"/>
    </row>
    <row r="1457" spans="2:21" ht="19.149999999999999" customHeight="1">
      <c r="B1457" s="606" t="s">
        <v>1752</v>
      </c>
      <c r="C1457" s="654">
        <v>84</v>
      </c>
      <c r="D1457" s="607">
        <v>840</v>
      </c>
      <c r="E1457" s="608">
        <v>845101</v>
      </c>
      <c r="F1457" s="609" t="s">
        <v>1468</v>
      </c>
      <c r="G1457" s="610"/>
      <c r="H1457" s="610"/>
      <c r="I1457" s="611" t="s">
        <v>175</v>
      </c>
      <c r="J1457" s="616">
        <v>0</v>
      </c>
      <c r="K1457" s="613">
        <v>0</v>
      </c>
      <c r="L1457" s="616">
        <v>0</v>
      </c>
      <c r="M1457" s="616">
        <v>0</v>
      </c>
      <c r="N1457" s="614">
        <v>186.262</v>
      </c>
      <c r="O1457" s="648"/>
      <c r="P1457" s="648"/>
      <c r="R1457" s="626"/>
      <c r="T1457" s="633"/>
      <c r="U1457" s="634"/>
    </row>
    <row r="1458" spans="2:21" ht="19.149999999999999" customHeight="1">
      <c r="B1458" s="606" t="s">
        <v>1752</v>
      </c>
      <c r="C1458" s="654">
        <v>84</v>
      </c>
      <c r="D1458" s="607">
        <v>840</v>
      </c>
      <c r="E1458" s="608">
        <v>845102</v>
      </c>
      <c r="F1458" s="609" t="s">
        <v>1469</v>
      </c>
      <c r="G1458" s="610"/>
      <c r="H1458" s="610"/>
      <c r="I1458" s="611" t="s">
        <v>175</v>
      </c>
      <c r="J1458" s="616">
        <v>10</v>
      </c>
      <c r="K1458" s="613">
        <v>10</v>
      </c>
      <c r="L1458" s="616">
        <v>10</v>
      </c>
      <c r="M1458" s="616">
        <v>10</v>
      </c>
      <c r="N1458" s="614">
        <v>10.426</v>
      </c>
      <c r="O1458" s="648"/>
      <c r="P1458" s="648"/>
      <c r="R1458" s="626"/>
      <c r="T1458" s="633"/>
      <c r="U1458" s="634"/>
    </row>
    <row r="1459" spans="2:21" ht="19.149999999999999" customHeight="1">
      <c r="B1459" s="606" t="s">
        <v>1752</v>
      </c>
      <c r="C1459" s="654">
        <v>84</v>
      </c>
      <c r="D1459" s="607">
        <v>840</v>
      </c>
      <c r="E1459" s="608">
        <v>845103</v>
      </c>
      <c r="F1459" s="609" t="s">
        <v>1470</v>
      </c>
      <c r="G1459" s="610"/>
      <c r="H1459" s="610"/>
      <c r="I1459" s="611" t="s">
        <v>175</v>
      </c>
      <c r="J1459" s="616">
        <v>10</v>
      </c>
      <c r="K1459" s="613">
        <v>10</v>
      </c>
      <c r="L1459" s="616">
        <v>32</v>
      </c>
      <c r="M1459" s="616">
        <v>32</v>
      </c>
      <c r="N1459" s="614">
        <v>25.891999999999999</v>
      </c>
      <c r="O1459" s="648"/>
      <c r="P1459" s="648"/>
      <c r="R1459" s="626"/>
      <c r="T1459" s="633"/>
      <c r="U1459" s="634"/>
    </row>
    <row r="1460" spans="2:21" ht="28">
      <c r="B1460" s="606" t="s">
        <v>1752</v>
      </c>
      <c r="C1460" s="655">
        <v>84</v>
      </c>
      <c r="D1460" s="615">
        <v>840</v>
      </c>
      <c r="E1460" s="608">
        <v>845104</v>
      </c>
      <c r="F1460" s="609" t="s">
        <v>2112</v>
      </c>
      <c r="G1460" s="610"/>
      <c r="H1460" s="610"/>
      <c r="I1460" s="611" t="s">
        <v>175</v>
      </c>
      <c r="J1460" s="616">
        <v>19800</v>
      </c>
      <c r="K1460" s="613">
        <v>19700</v>
      </c>
      <c r="L1460" s="616">
        <v>19337</v>
      </c>
      <c r="M1460" s="616">
        <v>18850</v>
      </c>
      <c r="N1460" s="614">
        <v>18702.567999999999</v>
      </c>
      <c r="O1460" s="648"/>
      <c r="P1460" s="648"/>
      <c r="R1460" s="626"/>
      <c r="T1460" s="633"/>
      <c r="U1460" s="634"/>
    </row>
    <row r="1461" spans="2:21" ht="19.149999999999999" customHeight="1">
      <c r="B1461" s="606" t="s">
        <v>1752</v>
      </c>
      <c r="C1461" s="654">
        <v>84</v>
      </c>
      <c r="D1461" s="607">
        <v>840</v>
      </c>
      <c r="E1461" s="608">
        <v>845105</v>
      </c>
      <c r="F1461" s="609" t="s">
        <v>1471</v>
      </c>
      <c r="G1461" s="610"/>
      <c r="H1461" s="610"/>
      <c r="I1461" s="611" t="s">
        <v>175</v>
      </c>
      <c r="J1461" s="616">
        <v>6600</v>
      </c>
      <c r="K1461" s="613">
        <v>6588</v>
      </c>
      <c r="L1461" s="616">
        <v>6550</v>
      </c>
      <c r="M1461" s="616">
        <v>6550</v>
      </c>
      <c r="N1461" s="614">
        <v>6495.5439999999999</v>
      </c>
      <c r="O1461" s="648"/>
      <c r="P1461" s="648"/>
      <c r="R1461" s="626"/>
      <c r="T1461" s="633"/>
      <c r="U1461" s="634"/>
    </row>
    <row r="1462" spans="2:21" ht="19.149999999999999" customHeight="1">
      <c r="B1462" s="606" t="s">
        <v>1752</v>
      </c>
      <c r="C1462" s="655">
        <v>84</v>
      </c>
      <c r="D1462" s="615">
        <v>840</v>
      </c>
      <c r="E1462" s="608">
        <v>845106</v>
      </c>
      <c r="F1462" s="609" t="s">
        <v>2216</v>
      </c>
      <c r="G1462" s="610"/>
      <c r="H1462" s="610"/>
      <c r="I1462" s="611" t="s">
        <v>175</v>
      </c>
      <c r="J1462" s="616">
        <v>9200</v>
      </c>
      <c r="K1462" s="613">
        <v>8204</v>
      </c>
      <c r="L1462" s="616">
        <v>8180</v>
      </c>
      <c r="M1462" s="616">
        <v>7350</v>
      </c>
      <c r="N1462" s="614">
        <v>7510.91</v>
      </c>
      <c r="O1462" s="648"/>
      <c r="P1462" s="648"/>
      <c r="R1462" s="626"/>
      <c r="T1462" s="633"/>
      <c r="U1462" s="634"/>
    </row>
    <row r="1463" spans="2:21" ht="19.149999999999999" customHeight="1">
      <c r="B1463" s="606" t="s">
        <v>1752</v>
      </c>
      <c r="C1463" s="654">
        <v>84</v>
      </c>
      <c r="D1463" s="607">
        <v>840</v>
      </c>
      <c r="E1463" s="608">
        <v>845107</v>
      </c>
      <c r="F1463" s="609" t="s">
        <v>1759</v>
      </c>
      <c r="G1463" s="610"/>
      <c r="H1463" s="610"/>
      <c r="I1463" s="611" t="s">
        <v>175</v>
      </c>
      <c r="J1463" s="616">
        <v>360</v>
      </c>
      <c r="K1463" s="613">
        <v>350</v>
      </c>
      <c r="L1463" s="616">
        <v>390</v>
      </c>
      <c r="M1463" s="616">
        <v>390</v>
      </c>
      <c r="N1463" s="614">
        <v>335.79599999999999</v>
      </c>
      <c r="O1463" s="648"/>
      <c r="P1463" s="648"/>
      <c r="R1463" s="626"/>
      <c r="T1463" s="633"/>
      <c r="U1463" s="634"/>
    </row>
    <row r="1464" spans="2:21" ht="19.149999999999999" customHeight="1">
      <c r="B1464" s="606" t="s">
        <v>1752</v>
      </c>
      <c r="C1464" s="655">
        <v>84</v>
      </c>
      <c r="D1464" s="615">
        <v>840</v>
      </c>
      <c r="E1464" s="608">
        <v>845108</v>
      </c>
      <c r="F1464" s="609" t="s">
        <v>1472</v>
      </c>
      <c r="G1464" s="610"/>
      <c r="H1464" s="610"/>
      <c r="I1464" s="611" t="s">
        <v>175</v>
      </c>
      <c r="J1464" s="616">
        <v>460</v>
      </c>
      <c r="K1464" s="613">
        <v>455</v>
      </c>
      <c r="L1464" s="616">
        <v>465</v>
      </c>
      <c r="M1464" s="616">
        <v>540</v>
      </c>
      <c r="N1464" s="614">
        <v>341.95560999999998</v>
      </c>
      <c r="O1464" s="648"/>
      <c r="P1464" s="648"/>
      <c r="R1464" s="626"/>
      <c r="T1464" s="633"/>
      <c r="U1464" s="634"/>
    </row>
    <row r="1465" spans="2:21" ht="19.149999999999999" customHeight="1">
      <c r="B1465" s="606" t="s">
        <v>1752</v>
      </c>
      <c r="C1465" s="654">
        <v>84</v>
      </c>
      <c r="D1465" s="607">
        <v>840</v>
      </c>
      <c r="E1465" s="608">
        <v>845109</v>
      </c>
      <c r="F1465" s="609" t="s">
        <v>2230</v>
      </c>
      <c r="G1465" s="610"/>
      <c r="H1465" s="610"/>
      <c r="I1465" s="611" t="s">
        <v>175</v>
      </c>
      <c r="J1465" s="616">
        <v>84</v>
      </c>
      <c r="K1465" s="613">
        <v>84</v>
      </c>
      <c r="L1465" s="616">
        <v>110</v>
      </c>
      <c r="M1465" s="616">
        <v>110</v>
      </c>
      <c r="N1465" s="614">
        <v>90.221999999999994</v>
      </c>
      <c r="O1465" s="648"/>
      <c r="P1465" s="648"/>
      <c r="R1465" s="626"/>
      <c r="T1465" s="633"/>
      <c r="U1465" s="634"/>
    </row>
    <row r="1466" spans="2:21" ht="19.149999999999999" customHeight="1">
      <c r="B1466" s="606" t="s">
        <v>1752</v>
      </c>
      <c r="C1466" s="655">
        <v>84</v>
      </c>
      <c r="D1466" s="615">
        <v>840</v>
      </c>
      <c r="E1466" s="608">
        <v>845110</v>
      </c>
      <c r="F1466" s="609" t="s">
        <v>1844</v>
      </c>
      <c r="G1466" s="610"/>
      <c r="H1466" s="610"/>
      <c r="I1466" s="611" t="s">
        <v>175</v>
      </c>
      <c r="J1466" s="616">
        <v>800</v>
      </c>
      <c r="K1466" s="613">
        <v>800</v>
      </c>
      <c r="L1466" s="616">
        <v>805</v>
      </c>
      <c r="M1466" s="616">
        <v>660</v>
      </c>
      <c r="N1466" s="614">
        <v>717.16300000000001</v>
      </c>
      <c r="O1466" s="648"/>
      <c r="P1466" s="648"/>
      <c r="R1466" s="626"/>
      <c r="T1466" s="633"/>
      <c r="U1466" s="634"/>
    </row>
    <row r="1467" spans="2:21" ht="19.149999999999999" customHeight="1">
      <c r="B1467" s="606" t="s">
        <v>1752</v>
      </c>
      <c r="C1467" s="654">
        <v>84</v>
      </c>
      <c r="D1467" s="607">
        <v>840</v>
      </c>
      <c r="E1467" s="608">
        <v>845111</v>
      </c>
      <c r="F1467" s="609" t="s">
        <v>2231</v>
      </c>
      <c r="G1467" s="610"/>
      <c r="H1467" s="610"/>
      <c r="I1467" s="611" t="s">
        <v>175</v>
      </c>
      <c r="J1467" s="616">
        <v>60</v>
      </c>
      <c r="K1467" s="613">
        <v>50</v>
      </c>
      <c r="L1467" s="616">
        <v>50</v>
      </c>
      <c r="M1467" s="616">
        <v>50</v>
      </c>
      <c r="N1467" s="614">
        <v>57.606000000000002</v>
      </c>
      <c r="O1467" s="648"/>
      <c r="P1467" s="648"/>
      <c r="R1467" s="626"/>
      <c r="T1467" s="633"/>
      <c r="U1467" s="634"/>
    </row>
    <row r="1468" spans="2:21" ht="19.149999999999999" customHeight="1">
      <c r="B1468" s="606" t="s">
        <v>1752</v>
      </c>
      <c r="C1468" s="654">
        <v>84</v>
      </c>
      <c r="D1468" s="607">
        <v>840</v>
      </c>
      <c r="E1468" s="608">
        <v>845201</v>
      </c>
      <c r="F1468" s="609" t="s">
        <v>1473</v>
      </c>
      <c r="G1468" s="610"/>
      <c r="H1468" s="610"/>
      <c r="I1468" s="611" t="s">
        <v>175</v>
      </c>
      <c r="J1468" s="616">
        <v>24</v>
      </c>
      <c r="K1468" s="613">
        <v>20</v>
      </c>
      <c r="L1468" s="616">
        <v>35</v>
      </c>
      <c r="M1468" s="616">
        <v>35</v>
      </c>
      <c r="N1468" s="614">
        <v>28.707000000000001</v>
      </c>
      <c r="O1468" s="648"/>
      <c r="P1468" s="648"/>
      <c r="R1468" s="626"/>
      <c r="T1468" s="633"/>
      <c r="U1468" s="634"/>
    </row>
    <row r="1469" spans="2:21" ht="28">
      <c r="B1469" s="606" t="s">
        <v>1752</v>
      </c>
      <c r="C1469" s="655">
        <v>84</v>
      </c>
      <c r="D1469" s="615">
        <v>840</v>
      </c>
      <c r="E1469" s="608">
        <v>845202</v>
      </c>
      <c r="F1469" s="609" t="s">
        <v>2113</v>
      </c>
      <c r="G1469" s="610"/>
      <c r="H1469" s="610"/>
      <c r="I1469" s="611" t="s">
        <v>175</v>
      </c>
      <c r="J1469" s="616">
        <v>1680</v>
      </c>
      <c r="K1469" s="613">
        <v>1620</v>
      </c>
      <c r="L1469" s="616">
        <v>1620</v>
      </c>
      <c r="M1469" s="616">
        <v>1200</v>
      </c>
      <c r="N1469" s="614">
        <v>1530.0709999999999</v>
      </c>
      <c r="O1469" s="648"/>
      <c r="P1469" s="648"/>
      <c r="R1469" s="626"/>
      <c r="T1469" s="633"/>
      <c r="U1469" s="634"/>
    </row>
    <row r="1470" spans="2:21" ht="19.149999999999999" customHeight="1">
      <c r="B1470" s="606" t="s">
        <v>1752</v>
      </c>
      <c r="C1470" s="654">
        <v>84</v>
      </c>
      <c r="D1470" s="607">
        <v>410</v>
      </c>
      <c r="E1470" s="608">
        <v>845203</v>
      </c>
      <c r="F1470" s="609" t="s">
        <v>1903</v>
      </c>
      <c r="G1470" s="610"/>
      <c r="H1470" s="610"/>
      <c r="I1470" s="611" t="s">
        <v>175</v>
      </c>
      <c r="J1470" s="616">
        <v>420</v>
      </c>
      <c r="K1470" s="613">
        <v>400</v>
      </c>
      <c r="L1470" s="616">
        <v>400</v>
      </c>
      <c r="M1470" s="616">
        <v>400</v>
      </c>
      <c r="N1470" s="614">
        <v>396.52784000000003</v>
      </c>
      <c r="O1470" s="648"/>
      <c r="P1470" s="648"/>
      <c r="R1470" s="626"/>
      <c r="T1470" s="633"/>
      <c r="U1470" s="634"/>
    </row>
    <row r="1471" spans="2:21" ht="19.149999999999999" customHeight="1">
      <c r="B1471" s="606" t="s">
        <v>1752</v>
      </c>
      <c r="C1471" s="655">
        <v>84</v>
      </c>
      <c r="D1471" s="615">
        <v>840</v>
      </c>
      <c r="E1471" s="608">
        <v>845203</v>
      </c>
      <c r="F1471" s="609" t="s">
        <v>1690</v>
      </c>
      <c r="G1471" s="610"/>
      <c r="H1471" s="610"/>
      <c r="I1471" s="611" t="s">
        <v>175</v>
      </c>
      <c r="J1471" s="616">
        <v>570</v>
      </c>
      <c r="K1471" s="613">
        <v>520</v>
      </c>
      <c r="L1471" s="616">
        <v>543</v>
      </c>
      <c r="M1471" s="616">
        <v>760</v>
      </c>
      <c r="N1471" s="614">
        <v>635.95399999999995</v>
      </c>
      <c r="O1471" s="648"/>
      <c r="P1471" s="648"/>
      <c r="R1471" s="626"/>
      <c r="T1471" s="633"/>
      <c r="U1471" s="634"/>
    </row>
    <row r="1472" spans="2:21" ht="19.149999999999999" customHeight="1">
      <c r="B1472" s="606" t="s">
        <v>1752</v>
      </c>
      <c r="C1472" s="655">
        <v>84</v>
      </c>
      <c r="D1472" s="615">
        <v>980</v>
      </c>
      <c r="E1472" s="608">
        <v>845203</v>
      </c>
      <c r="F1472" s="609" t="s">
        <v>2096</v>
      </c>
      <c r="G1472" s="610"/>
      <c r="H1472" s="610"/>
      <c r="I1472" s="611" t="s">
        <v>175</v>
      </c>
      <c r="J1472" s="616">
        <v>0</v>
      </c>
      <c r="K1472" s="613">
        <v>300</v>
      </c>
      <c r="L1472" s="616">
        <v>300</v>
      </c>
      <c r="M1472" s="616">
        <v>0</v>
      </c>
      <c r="N1472" s="614">
        <v>0</v>
      </c>
      <c r="O1472" s="648"/>
      <c r="P1472" s="648"/>
      <c r="R1472" s="626"/>
      <c r="T1472" s="633"/>
      <c r="U1472" s="634"/>
    </row>
    <row r="1473" spans="2:21" ht="28">
      <c r="B1473" s="606" t="s">
        <v>1752</v>
      </c>
      <c r="C1473" s="654">
        <v>84</v>
      </c>
      <c r="D1473" s="607">
        <v>840</v>
      </c>
      <c r="E1473" s="608">
        <v>845301</v>
      </c>
      <c r="F1473" s="609" t="s">
        <v>2114</v>
      </c>
      <c r="G1473" s="610"/>
      <c r="H1473" s="610"/>
      <c r="I1473" s="611" t="s">
        <v>175</v>
      </c>
      <c r="J1473" s="616">
        <v>0</v>
      </c>
      <c r="K1473" s="613">
        <v>0</v>
      </c>
      <c r="L1473" s="616">
        <v>0</v>
      </c>
      <c r="M1473" s="616">
        <v>10</v>
      </c>
      <c r="N1473" s="614">
        <v>6.7770000000000001</v>
      </c>
      <c r="O1473" s="648"/>
      <c r="P1473" s="648"/>
      <c r="R1473" s="626"/>
      <c r="T1473" s="633"/>
      <c r="U1473" s="634"/>
    </row>
    <row r="1474" spans="2:21" ht="19.149999999999999" customHeight="1">
      <c r="B1474" s="606" t="s">
        <v>1752</v>
      </c>
      <c r="C1474" s="655">
        <v>84</v>
      </c>
      <c r="D1474" s="615">
        <v>840</v>
      </c>
      <c r="E1474" s="608">
        <v>845302</v>
      </c>
      <c r="F1474" s="609" t="s">
        <v>1475</v>
      </c>
      <c r="G1474" s="610"/>
      <c r="H1474" s="610"/>
      <c r="I1474" s="611" t="s">
        <v>175</v>
      </c>
      <c r="J1474" s="616">
        <v>530</v>
      </c>
      <c r="K1474" s="613">
        <v>460</v>
      </c>
      <c r="L1474" s="616">
        <v>464</v>
      </c>
      <c r="M1474" s="616">
        <v>534</v>
      </c>
      <c r="N1474" s="614">
        <v>442.90014000000002</v>
      </c>
      <c r="O1474" s="648"/>
      <c r="P1474" s="648"/>
      <c r="R1474" s="626"/>
      <c r="T1474" s="633"/>
      <c r="U1474" s="634"/>
    </row>
    <row r="1475" spans="2:21" ht="19.149999999999999" customHeight="1">
      <c r="B1475" s="606" t="s">
        <v>1752</v>
      </c>
      <c r="C1475" s="654">
        <v>84</v>
      </c>
      <c r="D1475" s="607">
        <v>840</v>
      </c>
      <c r="E1475" s="608">
        <v>845304</v>
      </c>
      <c r="F1475" s="609" t="s">
        <v>2232</v>
      </c>
      <c r="G1475" s="610"/>
      <c r="H1475" s="610"/>
      <c r="I1475" s="611" t="s">
        <v>175</v>
      </c>
      <c r="J1475" s="616">
        <v>75</v>
      </c>
      <c r="K1475" s="613">
        <v>64</v>
      </c>
      <c r="L1475" s="616">
        <v>75</v>
      </c>
      <c r="M1475" s="616">
        <v>75</v>
      </c>
      <c r="N1475" s="614">
        <f>59.742-1.167</f>
        <v>58.574999999999996</v>
      </c>
      <c r="O1475" s="648"/>
      <c r="P1475" s="648"/>
      <c r="R1475" s="626"/>
      <c r="T1475" s="633"/>
      <c r="U1475" s="634"/>
    </row>
    <row r="1476" spans="2:21" ht="19.149999999999999" customHeight="1">
      <c r="B1476" s="606" t="s">
        <v>1752</v>
      </c>
      <c r="C1476" s="654">
        <v>84</v>
      </c>
      <c r="D1476" s="607">
        <v>780</v>
      </c>
      <c r="E1476" s="608">
        <v>845401</v>
      </c>
      <c r="F1476" s="609" t="s">
        <v>1904</v>
      </c>
      <c r="G1476" s="610"/>
      <c r="H1476" s="610"/>
      <c r="I1476" s="611" t="s">
        <v>44</v>
      </c>
      <c r="J1476" s="616">
        <v>0</v>
      </c>
      <c r="K1476" s="613">
        <v>0</v>
      </c>
      <c r="L1476" s="616">
        <v>0</v>
      </c>
      <c r="M1476" s="616">
        <v>0</v>
      </c>
      <c r="N1476" s="614">
        <v>94.197130000000001</v>
      </c>
      <c r="O1476" s="648"/>
      <c r="P1476" s="648"/>
      <c r="R1476" s="626"/>
      <c r="T1476" s="633"/>
      <c r="U1476" s="634"/>
    </row>
    <row r="1477" spans="2:21" ht="19.149999999999999" customHeight="1">
      <c r="B1477" s="606" t="s">
        <v>1752</v>
      </c>
      <c r="C1477" s="654">
        <v>84</v>
      </c>
      <c r="D1477" s="607">
        <v>184</v>
      </c>
      <c r="E1477" s="608">
        <v>845501</v>
      </c>
      <c r="F1477" s="609" t="s">
        <v>1476</v>
      </c>
      <c r="G1477" s="610">
        <v>0</v>
      </c>
      <c r="H1477" s="610">
        <v>0.38093333333333335</v>
      </c>
      <c r="I1477" s="611" t="s">
        <v>669</v>
      </c>
      <c r="J1477" s="616">
        <v>0</v>
      </c>
      <c r="K1477" s="613">
        <v>0</v>
      </c>
      <c r="L1477" s="616">
        <v>0</v>
      </c>
      <c r="M1477" s="616">
        <v>0</v>
      </c>
      <c r="N1477" s="614">
        <f>369.13918+0.581</f>
        <v>369.72018000000003</v>
      </c>
      <c r="O1477" s="648"/>
      <c r="P1477" s="648"/>
      <c r="R1477" s="626"/>
      <c r="T1477" s="633"/>
      <c r="U1477" s="634"/>
    </row>
    <row r="1478" spans="2:21" ht="19.149999999999999" customHeight="1">
      <c r="B1478" s="747"/>
      <c r="C1478" s="656"/>
      <c r="D1478" s="618"/>
      <c r="E1478" s="619" t="s">
        <v>675</v>
      </c>
      <c r="F1478" s="620" t="s">
        <v>2009</v>
      </c>
      <c r="G1478" s="621">
        <f>SUM(G1456:G1477)</f>
        <v>0</v>
      </c>
      <c r="H1478" s="621">
        <f>SUM(H1456:H1477)</f>
        <v>0.38093333333333335</v>
      </c>
      <c r="I1478" s="622"/>
      <c r="J1478" s="623">
        <f>SUM(J1455:J1477)</f>
        <v>40683</v>
      </c>
      <c r="K1478" s="624">
        <f>SUM(K1455:K1477)</f>
        <v>39635</v>
      </c>
      <c r="L1478" s="623">
        <f>SUM(L1455:L1477)</f>
        <v>39366</v>
      </c>
      <c r="M1478" s="623">
        <f>SUM(M1455:M1477)</f>
        <v>37556</v>
      </c>
      <c r="N1478" s="625">
        <f>SUM(N1455:N1477)</f>
        <v>38143.116890000005</v>
      </c>
      <c r="O1478" s="648"/>
      <c r="P1478" s="648"/>
      <c r="R1478" s="626"/>
      <c r="T1478" s="633"/>
      <c r="U1478" s="632"/>
    </row>
    <row r="1479" spans="2:21" ht="19.149999999999999" customHeight="1">
      <c r="B1479" s="704"/>
      <c r="C1479" s="684"/>
      <c r="D1479" s="705"/>
      <c r="E1479" s="695" t="s">
        <v>741</v>
      </c>
      <c r="F1479" s="687" t="s">
        <v>248</v>
      </c>
      <c r="G1479" s="706"/>
      <c r="H1479" s="706"/>
      <c r="I1479" s="707"/>
      <c r="J1479" s="690"/>
      <c r="K1479" s="693"/>
      <c r="L1479" s="690"/>
      <c r="M1479" s="690"/>
      <c r="N1479" s="708"/>
      <c r="O1479" s="648"/>
      <c r="P1479" s="648"/>
      <c r="R1479" s="626"/>
      <c r="T1479" s="633"/>
      <c r="U1479" s="632"/>
    </row>
    <row r="1480" spans="2:21" ht="19.149999999999999" customHeight="1">
      <c r="B1480" s="606" t="s">
        <v>248</v>
      </c>
      <c r="C1480" s="654">
        <v>84</v>
      </c>
      <c r="D1480" s="607">
        <v>840</v>
      </c>
      <c r="E1480" s="608">
        <v>846101</v>
      </c>
      <c r="F1480" s="609" t="s">
        <v>1477</v>
      </c>
      <c r="G1480" s="610"/>
      <c r="H1480" s="610"/>
      <c r="I1480" s="611" t="s">
        <v>175</v>
      </c>
      <c r="J1480" s="616">
        <v>192</v>
      </c>
      <c r="K1480" s="613">
        <v>192</v>
      </c>
      <c r="L1480" s="616">
        <v>185</v>
      </c>
      <c r="M1480" s="616">
        <v>185</v>
      </c>
      <c r="N1480" s="614">
        <v>191.31899999999999</v>
      </c>
      <c r="O1480" s="648"/>
      <c r="P1480" s="648"/>
      <c r="R1480" s="626"/>
      <c r="T1480" s="633"/>
      <c r="U1480" s="634"/>
    </row>
    <row r="1481" spans="2:21" ht="19.149999999999999" customHeight="1">
      <c r="B1481" s="606" t="s">
        <v>248</v>
      </c>
      <c r="C1481" s="654">
        <v>84</v>
      </c>
      <c r="D1481" s="607">
        <v>840</v>
      </c>
      <c r="E1481" s="608">
        <v>846302</v>
      </c>
      <c r="F1481" s="609" t="s">
        <v>1478</v>
      </c>
      <c r="G1481" s="610"/>
      <c r="H1481" s="610"/>
      <c r="I1481" s="611" t="s">
        <v>175</v>
      </c>
      <c r="J1481" s="616">
        <v>80</v>
      </c>
      <c r="K1481" s="613">
        <v>51</v>
      </c>
      <c r="L1481" s="616">
        <v>90</v>
      </c>
      <c r="M1481" s="616">
        <v>90</v>
      </c>
      <c r="N1481" s="614">
        <v>79.427999999999997</v>
      </c>
      <c r="O1481" s="648"/>
      <c r="P1481" s="648"/>
      <c r="R1481" s="626"/>
      <c r="T1481" s="633"/>
      <c r="U1481" s="634"/>
    </row>
    <row r="1482" spans="2:21" ht="24" customHeight="1">
      <c r="B1482" s="606" t="s">
        <v>248</v>
      </c>
      <c r="C1482" s="654">
        <v>84</v>
      </c>
      <c r="D1482" s="607">
        <v>840</v>
      </c>
      <c r="E1482" s="608">
        <v>846401</v>
      </c>
      <c r="F1482" s="609" t="s">
        <v>2115</v>
      </c>
      <c r="G1482" s="610"/>
      <c r="H1482" s="610"/>
      <c r="I1482" s="611" t="s">
        <v>175</v>
      </c>
      <c r="J1482" s="616">
        <v>0</v>
      </c>
      <c r="K1482" s="613">
        <v>0</v>
      </c>
      <c r="L1482" s="616">
        <v>0</v>
      </c>
      <c r="M1482" s="616">
        <v>40</v>
      </c>
      <c r="N1482" s="614">
        <v>46.722999999999999</v>
      </c>
      <c r="O1482" s="648"/>
      <c r="P1482" s="648"/>
      <c r="R1482" s="626"/>
      <c r="T1482" s="633"/>
      <c r="U1482" s="634"/>
    </row>
    <row r="1483" spans="2:21" ht="28">
      <c r="B1483" s="606" t="s">
        <v>248</v>
      </c>
      <c r="C1483" s="654">
        <v>84</v>
      </c>
      <c r="D1483" s="607">
        <v>840</v>
      </c>
      <c r="E1483" s="608">
        <v>846402</v>
      </c>
      <c r="F1483" s="609" t="s">
        <v>2116</v>
      </c>
      <c r="G1483" s="610"/>
      <c r="H1483" s="610"/>
      <c r="I1483" s="611" t="s">
        <v>175</v>
      </c>
      <c r="J1483" s="616">
        <v>0</v>
      </c>
      <c r="K1483" s="613">
        <v>0</v>
      </c>
      <c r="L1483" s="616">
        <v>0</v>
      </c>
      <c r="M1483" s="616">
        <v>380</v>
      </c>
      <c r="N1483" s="614">
        <v>364.52600000000001</v>
      </c>
      <c r="O1483" s="648"/>
      <c r="P1483" s="648"/>
      <c r="R1483" s="626"/>
      <c r="T1483" s="633"/>
      <c r="U1483" s="634"/>
    </row>
    <row r="1484" spans="2:21" ht="28">
      <c r="B1484" s="606" t="s">
        <v>248</v>
      </c>
      <c r="C1484" s="655">
        <v>84</v>
      </c>
      <c r="D1484" s="615">
        <v>840</v>
      </c>
      <c r="E1484" s="608">
        <v>846501</v>
      </c>
      <c r="F1484" s="609" t="s">
        <v>2117</v>
      </c>
      <c r="G1484" s="610"/>
      <c r="H1484" s="610"/>
      <c r="I1484" s="611" t="s">
        <v>175</v>
      </c>
      <c r="J1484" s="616">
        <v>10710</v>
      </c>
      <c r="K1484" s="613">
        <v>10500</v>
      </c>
      <c r="L1484" s="616">
        <v>10261</v>
      </c>
      <c r="M1484" s="616">
        <v>9700</v>
      </c>
      <c r="N1484" s="614">
        <v>10051.752</v>
      </c>
      <c r="O1484" s="648"/>
      <c r="P1484" s="648"/>
      <c r="R1484" s="626"/>
      <c r="T1484" s="633"/>
      <c r="U1484" s="634"/>
    </row>
    <row r="1485" spans="2:21" ht="19.149999999999999" customHeight="1">
      <c r="B1485" s="606" t="s">
        <v>248</v>
      </c>
      <c r="C1485" s="654">
        <v>84</v>
      </c>
      <c r="D1485" s="607">
        <v>840</v>
      </c>
      <c r="E1485" s="608">
        <v>846502</v>
      </c>
      <c r="F1485" s="609" t="s">
        <v>1479</v>
      </c>
      <c r="G1485" s="610"/>
      <c r="H1485" s="610"/>
      <c r="I1485" s="611" t="s">
        <v>175</v>
      </c>
      <c r="J1485" s="616">
        <v>80</v>
      </c>
      <c r="K1485" s="613">
        <v>57</v>
      </c>
      <c r="L1485" s="616">
        <v>60</v>
      </c>
      <c r="M1485" s="616">
        <v>220</v>
      </c>
      <c r="N1485" s="614">
        <v>173.31800000000001</v>
      </c>
      <c r="O1485" s="648"/>
      <c r="P1485" s="648"/>
      <c r="R1485" s="626"/>
      <c r="T1485" s="633"/>
      <c r="U1485" s="634"/>
    </row>
    <row r="1486" spans="2:21" ht="28">
      <c r="B1486" s="606" t="s">
        <v>248</v>
      </c>
      <c r="C1486" s="655">
        <v>84</v>
      </c>
      <c r="D1486" s="615">
        <v>840</v>
      </c>
      <c r="E1486" s="608">
        <v>846601</v>
      </c>
      <c r="F1486" s="609" t="s">
        <v>2118</v>
      </c>
      <c r="G1486" s="610"/>
      <c r="H1486" s="610"/>
      <c r="I1486" s="611" t="s">
        <v>175</v>
      </c>
      <c r="J1486" s="616">
        <v>618</v>
      </c>
      <c r="K1486" s="613">
        <v>605</v>
      </c>
      <c r="L1486" s="616">
        <v>605</v>
      </c>
      <c r="M1486" s="616">
        <v>375</v>
      </c>
      <c r="N1486" s="614">
        <v>368.315</v>
      </c>
      <c r="O1486" s="648"/>
      <c r="P1486" s="648"/>
      <c r="R1486" s="626"/>
      <c r="T1486" s="633"/>
      <c r="U1486" s="634"/>
    </row>
    <row r="1487" spans="2:21" ht="18.649999999999999" customHeight="1">
      <c r="B1487" s="606" t="s">
        <v>248</v>
      </c>
      <c r="C1487" s="654">
        <v>84</v>
      </c>
      <c r="D1487" s="607">
        <v>840</v>
      </c>
      <c r="E1487" s="608">
        <v>846602</v>
      </c>
      <c r="F1487" s="609" t="s">
        <v>2141</v>
      </c>
      <c r="G1487" s="610"/>
      <c r="H1487" s="610"/>
      <c r="I1487" s="611" t="s">
        <v>175</v>
      </c>
      <c r="J1487" s="616">
        <v>370</v>
      </c>
      <c r="K1487" s="613">
        <v>370</v>
      </c>
      <c r="L1487" s="616">
        <v>340</v>
      </c>
      <c r="M1487" s="616">
        <v>310</v>
      </c>
      <c r="N1487" s="614">
        <v>298.99</v>
      </c>
      <c r="O1487" s="648"/>
      <c r="P1487" s="648"/>
      <c r="R1487" s="626"/>
      <c r="T1487" s="633"/>
      <c r="U1487" s="634"/>
    </row>
    <row r="1488" spans="2:21" ht="19.149999999999999" customHeight="1">
      <c r="B1488" s="606" t="s">
        <v>248</v>
      </c>
      <c r="C1488" s="654">
        <v>84</v>
      </c>
      <c r="D1488" s="607">
        <v>840</v>
      </c>
      <c r="E1488" s="608">
        <v>846603</v>
      </c>
      <c r="F1488" s="609" t="s">
        <v>2140</v>
      </c>
      <c r="G1488" s="610"/>
      <c r="H1488" s="610"/>
      <c r="I1488" s="611" t="s">
        <v>175</v>
      </c>
      <c r="J1488" s="616">
        <v>0</v>
      </c>
      <c r="K1488" s="613">
        <v>0</v>
      </c>
      <c r="L1488" s="616">
        <v>0</v>
      </c>
      <c r="M1488" s="616">
        <v>30</v>
      </c>
      <c r="N1488" s="614">
        <v>26.204999999999998</v>
      </c>
      <c r="O1488" s="648"/>
      <c r="P1488" s="648"/>
      <c r="R1488" s="626"/>
      <c r="T1488" s="633"/>
      <c r="U1488" s="634"/>
    </row>
    <row r="1489" spans="2:21" ht="19.149999999999999" customHeight="1">
      <c r="B1489" s="606" t="s">
        <v>248</v>
      </c>
      <c r="C1489" s="655">
        <v>84</v>
      </c>
      <c r="D1489" s="615">
        <v>710</v>
      </c>
      <c r="E1489" s="608">
        <v>846605</v>
      </c>
      <c r="F1489" s="609" t="s">
        <v>1937</v>
      </c>
      <c r="G1489" s="610"/>
      <c r="H1489" s="610"/>
      <c r="I1489" s="611" t="s">
        <v>175</v>
      </c>
      <c r="J1489" s="616">
        <v>140</v>
      </c>
      <c r="K1489" s="613">
        <v>140</v>
      </c>
      <c r="L1489" s="616">
        <v>266</v>
      </c>
      <c r="M1489" s="616">
        <v>300</v>
      </c>
      <c r="N1489" s="614">
        <v>0</v>
      </c>
      <c r="O1489" s="648"/>
      <c r="P1489" s="648"/>
      <c r="R1489" s="626"/>
      <c r="T1489" s="633"/>
      <c r="U1489" s="634"/>
    </row>
    <row r="1490" spans="2:21" ht="14">
      <c r="B1490" s="606" t="s">
        <v>248</v>
      </c>
      <c r="C1490" s="655">
        <v>84</v>
      </c>
      <c r="D1490" s="615">
        <v>780</v>
      </c>
      <c r="E1490" s="608">
        <v>846605</v>
      </c>
      <c r="F1490" s="609" t="s">
        <v>2234</v>
      </c>
      <c r="G1490" s="610"/>
      <c r="H1490" s="610"/>
      <c r="I1490" s="611" t="s">
        <v>44</v>
      </c>
      <c r="J1490" s="616">
        <f>305-31</f>
        <v>274</v>
      </c>
      <c r="K1490" s="613">
        <v>209</v>
      </c>
      <c r="L1490" s="616">
        <v>209</v>
      </c>
      <c r="M1490" s="616">
        <v>310</v>
      </c>
      <c r="N1490" s="614">
        <v>296.29687000000001</v>
      </c>
      <c r="O1490" s="648"/>
      <c r="P1490" s="648"/>
      <c r="R1490" s="626"/>
      <c r="T1490" s="633"/>
      <c r="U1490" s="634"/>
    </row>
    <row r="1491" spans="2:21" ht="19.149999999999999" customHeight="1">
      <c r="B1491" s="606" t="s">
        <v>248</v>
      </c>
      <c r="C1491" s="654">
        <v>84</v>
      </c>
      <c r="D1491" s="607">
        <v>840</v>
      </c>
      <c r="E1491" s="608">
        <v>846605</v>
      </c>
      <c r="F1491" s="609" t="s">
        <v>1862</v>
      </c>
      <c r="G1491" s="610"/>
      <c r="H1491" s="610"/>
      <c r="I1491" s="611" t="s">
        <v>175</v>
      </c>
      <c r="J1491" s="616">
        <v>45</v>
      </c>
      <c r="K1491" s="613">
        <v>21</v>
      </c>
      <c r="L1491" s="616">
        <v>110</v>
      </c>
      <c r="M1491" s="616">
        <v>110</v>
      </c>
      <c r="N1491" s="614">
        <v>78.409000000000006</v>
      </c>
      <c r="O1491" s="648"/>
      <c r="P1491" s="648"/>
      <c r="R1491" s="626"/>
      <c r="T1491" s="633"/>
      <c r="U1491" s="634"/>
    </row>
    <row r="1492" spans="2:21" ht="19.149999999999999" customHeight="1">
      <c r="B1492" s="606" t="s">
        <v>248</v>
      </c>
      <c r="C1492" s="654">
        <v>84</v>
      </c>
      <c r="D1492" s="607">
        <v>840</v>
      </c>
      <c r="E1492" s="608">
        <v>846606</v>
      </c>
      <c r="F1492" s="609" t="s">
        <v>1480</v>
      </c>
      <c r="G1492" s="610"/>
      <c r="H1492" s="610"/>
      <c r="I1492" s="611" t="s">
        <v>175</v>
      </c>
      <c r="J1492" s="616">
        <v>134</v>
      </c>
      <c r="K1492" s="613">
        <v>93</v>
      </c>
      <c r="L1492" s="616">
        <v>105</v>
      </c>
      <c r="M1492" s="616">
        <v>105</v>
      </c>
      <c r="N1492" s="614">
        <v>133.52600000000001</v>
      </c>
      <c r="O1492" s="648"/>
      <c r="P1492" s="648"/>
      <c r="R1492" s="626"/>
      <c r="T1492" s="633"/>
      <c r="U1492" s="634"/>
    </row>
    <row r="1493" spans="2:21" ht="19.149999999999999" customHeight="1">
      <c r="B1493" s="606" t="s">
        <v>248</v>
      </c>
      <c r="C1493" s="654">
        <v>84</v>
      </c>
      <c r="D1493" s="607">
        <v>840</v>
      </c>
      <c r="E1493" s="608">
        <v>846701</v>
      </c>
      <c r="F1493" s="609" t="s">
        <v>1481</v>
      </c>
      <c r="G1493" s="610"/>
      <c r="H1493" s="610"/>
      <c r="I1493" s="611" t="s">
        <v>175</v>
      </c>
      <c r="J1493" s="616">
        <v>58</v>
      </c>
      <c r="K1493" s="613">
        <v>54</v>
      </c>
      <c r="L1493" s="616">
        <v>58</v>
      </c>
      <c r="M1493" s="616">
        <v>58</v>
      </c>
      <c r="N1493" s="614">
        <v>0</v>
      </c>
      <c r="O1493" s="648"/>
      <c r="P1493" s="648"/>
      <c r="R1493" s="626"/>
      <c r="T1493" s="633"/>
      <c r="U1493" s="634"/>
    </row>
    <row r="1494" spans="2:21" ht="19.149999999999999" customHeight="1">
      <c r="B1494" s="606" t="s">
        <v>248</v>
      </c>
      <c r="C1494" s="654">
        <v>84</v>
      </c>
      <c r="D1494" s="607">
        <v>840</v>
      </c>
      <c r="E1494" s="608">
        <v>846702</v>
      </c>
      <c r="F1494" s="609" t="s">
        <v>2235</v>
      </c>
      <c r="G1494" s="610"/>
      <c r="H1494" s="610"/>
      <c r="I1494" s="611" t="s">
        <v>175</v>
      </c>
      <c r="J1494" s="616">
        <v>1650</v>
      </c>
      <c r="K1494" s="613">
        <v>1650</v>
      </c>
      <c r="L1494" s="616">
        <v>1670</v>
      </c>
      <c r="M1494" s="616">
        <v>2000</v>
      </c>
      <c r="N1494" s="614">
        <v>1825.377</v>
      </c>
      <c r="O1494" s="648"/>
      <c r="P1494" s="648"/>
      <c r="R1494" s="626"/>
      <c r="T1494" s="633"/>
      <c r="U1494" s="634"/>
    </row>
    <row r="1495" spans="2:21" ht="19.149999999999999" customHeight="1">
      <c r="B1495" s="606" t="s">
        <v>248</v>
      </c>
      <c r="C1495" s="654">
        <v>84</v>
      </c>
      <c r="D1495" s="607">
        <v>184</v>
      </c>
      <c r="E1495" s="608">
        <v>846703</v>
      </c>
      <c r="F1495" s="609" t="s">
        <v>1799</v>
      </c>
      <c r="G1495" s="610">
        <v>3.3</v>
      </c>
      <c r="H1495" s="610">
        <v>3.1</v>
      </c>
      <c r="I1495" s="611" t="s">
        <v>669</v>
      </c>
      <c r="J1495" s="616">
        <v>340</v>
      </c>
      <c r="K1495" s="613">
        <v>309</v>
      </c>
      <c r="L1495" s="616">
        <v>339</v>
      </c>
      <c r="M1495" s="616">
        <v>339</v>
      </c>
      <c r="N1495" s="614">
        <v>154.47888</v>
      </c>
      <c r="O1495" s="648"/>
      <c r="P1495" s="648"/>
      <c r="R1495" s="626"/>
      <c r="T1495" s="633"/>
      <c r="U1495" s="634"/>
    </row>
    <row r="1496" spans="2:21" ht="19.149999999999999" customHeight="1">
      <c r="B1496" s="606" t="s">
        <v>248</v>
      </c>
      <c r="C1496" s="655">
        <v>84</v>
      </c>
      <c r="D1496" s="615">
        <v>840</v>
      </c>
      <c r="E1496" s="608">
        <v>846703</v>
      </c>
      <c r="F1496" s="609" t="s">
        <v>2108</v>
      </c>
      <c r="G1496" s="610"/>
      <c r="H1496" s="610"/>
      <c r="I1496" s="611" t="s">
        <v>175</v>
      </c>
      <c r="J1496" s="616">
        <v>550</v>
      </c>
      <c r="K1496" s="613">
        <v>800</v>
      </c>
      <c r="L1496" s="616">
        <v>800</v>
      </c>
      <c r="M1496" s="616">
        <v>920</v>
      </c>
      <c r="N1496" s="614">
        <v>953.85510999999997</v>
      </c>
      <c r="O1496" s="648"/>
      <c r="P1496" s="648"/>
      <c r="R1496" s="626"/>
      <c r="T1496" s="633"/>
      <c r="U1496" s="634"/>
    </row>
    <row r="1497" spans="2:21" ht="19.149999999999999" customHeight="1">
      <c r="B1497" s="606" t="s">
        <v>248</v>
      </c>
      <c r="C1497" s="654">
        <v>84</v>
      </c>
      <c r="D1497" s="607">
        <v>840</v>
      </c>
      <c r="E1497" s="608">
        <v>846706</v>
      </c>
      <c r="F1497" s="609" t="s">
        <v>2221</v>
      </c>
      <c r="G1497" s="610"/>
      <c r="H1497" s="610"/>
      <c r="I1497" s="611" t="s">
        <v>175</v>
      </c>
      <c r="J1497" s="616">
        <v>10</v>
      </c>
      <c r="K1497" s="613">
        <v>5</v>
      </c>
      <c r="L1497" s="616">
        <v>5</v>
      </c>
      <c r="M1497" s="616">
        <v>5</v>
      </c>
      <c r="N1497" s="614">
        <v>11.715999999999999</v>
      </c>
      <c r="O1497" s="648"/>
      <c r="P1497" s="648"/>
      <c r="R1497" s="626"/>
      <c r="T1497" s="633"/>
      <c r="U1497" s="634"/>
    </row>
    <row r="1498" spans="2:21" ht="28">
      <c r="B1498" s="606" t="s">
        <v>248</v>
      </c>
      <c r="C1498" s="655">
        <v>84</v>
      </c>
      <c r="D1498" s="615">
        <v>840</v>
      </c>
      <c r="E1498" s="608">
        <v>846707</v>
      </c>
      <c r="F1498" s="609" t="s">
        <v>2119</v>
      </c>
      <c r="G1498" s="610"/>
      <c r="H1498" s="610"/>
      <c r="I1498" s="611" t="s">
        <v>175</v>
      </c>
      <c r="J1498" s="616">
        <v>580</v>
      </c>
      <c r="K1498" s="613">
        <v>400</v>
      </c>
      <c r="L1498" s="616">
        <v>581</v>
      </c>
      <c r="M1498" s="616">
        <v>500</v>
      </c>
      <c r="N1498" s="614">
        <v>245.2859</v>
      </c>
      <c r="O1498" s="648"/>
      <c r="P1498" s="648"/>
      <c r="R1498" s="626"/>
      <c r="T1498" s="633"/>
      <c r="U1498" s="634"/>
    </row>
    <row r="1499" spans="2:21" ht="19.149999999999999" customHeight="1">
      <c r="B1499" s="606" t="s">
        <v>248</v>
      </c>
      <c r="C1499" s="654">
        <v>84</v>
      </c>
      <c r="D1499" s="607">
        <v>840</v>
      </c>
      <c r="E1499" s="608">
        <v>846801</v>
      </c>
      <c r="F1499" s="609" t="s">
        <v>1482</v>
      </c>
      <c r="G1499" s="610"/>
      <c r="H1499" s="610"/>
      <c r="I1499" s="611" t="s">
        <v>175</v>
      </c>
      <c r="J1499" s="616">
        <v>49</v>
      </c>
      <c r="K1499" s="613">
        <v>45</v>
      </c>
      <c r="L1499" s="616">
        <v>45</v>
      </c>
      <c r="M1499" s="616">
        <v>90</v>
      </c>
      <c r="N1499" s="614">
        <v>79.328999999999994</v>
      </c>
      <c r="O1499" s="648"/>
      <c r="P1499" s="648"/>
      <c r="R1499" s="626"/>
      <c r="T1499" s="633"/>
      <c r="U1499" s="634"/>
    </row>
    <row r="1500" spans="2:21" ht="19.149999999999999" customHeight="1">
      <c r="B1500" s="606" t="s">
        <v>248</v>
      </c>
      <c r="C1500" s="654">
        <v>84</v>
      </c>
      <c r="D1500" s="607">
        <v>840</v>
      </c>
      <c r="E1500" s="608">
        <v>846802</v>
      </c>
      <c r="F1500" s="609" t="s">
        <v>1483</v>
      </c>
      <c r="G1500" s="610"/>
      <c r="H1500" s="610"/>
      <c r="I1500" s="611" t="s">
        <v>175</v>
      </c>
      <c r="J1500" s="616">
        <v>80</v>
      </c>
      <c r="K1500" s="613">
        <v>56</v>
      </c>
      <c r="L1500" s="616">
        <v>80</v>
      </c>
      <c r="M1500" s="616">
        <v>80</v>
      </c>
      <c r="N1500" s="614">
        <v>62.7</v>
      </c>
      <c r="O1500" s="648"/>
      <c r="P1500" s="648"/>
      <c r="R1500" s="626"/>
      <c r="T1500" s="633"/>
      <c r="U1500" s="634"/>
    </row>
    <row r="1501" spans="2:21" ht="28">
      <c r="B1501" s="606" t="s">
        <v>248</v>
      </c>
      <c r="C1501" s="654">
        <v>84</v>
      </c>
      <c r="D1501" s="607">
        <v>840</v>
      </c>
      <c r="E1501" s="608">
        <v>846803</v>
      </c>
      <c r="F1501" s="609" t="s">
        <v>2142</v>
      </c>
      <c r="G1501" s="610"/>
      <c r="H1501" s="610"/>
      <c r="I1501" s="611" t="s">
        <v>175</v>
      </c>
      <c r="J1501" s="616">
        <v>120</v>
      </c>
      <c r="K1501" s="613">
        <v>119</v>
      </c>
      <c r="L1501" s="616">
        <v>143</v>
      </c>
      <c r="M1501" s="616">
        <v>40</v>
      </c>
      <c r="N1501" s="614">
        <v>27.93601</v>
      </c>
      <c r="O1501" s="648"/>
      <c r="P1501" s="648"/>
      <c r="R1501" s="626"/>
      <c r="T1501" s="633"/>
      <c r="U1501" s="634"/>
    </row>
    <row r="1502" spans="2:21" ht="19.149999999999999" customHeight="1">
      <c r="B1502" s="606" t="s">
        <v>248</v>
      </c>
      <c r="C1502" s="655">
        <v>84</v>
      </c>
      <c r="D1502" s="615">
        <v>840</v>
      </c>
      <c r="E1502" s="608">
        <v>846804</v>
      </c>
      <c r="F1502" s="609" t="s">
        <v>2222</v>
      </c>
      <c r="G1502" s="610"/>
      <c r="H1502" s="610"/>
      <c r="I1502" s="611" t="s">
        <v>175</v>
      </c>
      <c r="J1502" s="616">
        <v>280</v>
      </c>
      <c r="K1502" s="613">
        <v>257</v>
      </c>
      <c r="L1502" s="616">
        <v>254</v>
      </c>
      <c r="M1502" s="616">
        <v>275</v>
      </c>
      <c r="N1502" s="614">
        <v>274.221</v>
      </c>
      <c r="O1502" s="648"/>
      <c r="P1502" s="648"/>
      <c r="R1502" s="626"/>
      <c r="T1502" s="633"/>
      <c r="U1502" s="634"/>
    </row>
    <row r="1503" spans="2:21" ht="28">
      <c r="B1503" s="606" t="s">
        <v>248</v>
      </c>
      <c r="C1503" s="654">
        <v>84</v>
      </c>
      <c r="D1503" s="607">
        <v>840</v>
      </c>
      <c r="E1503" s="608">
        <v>846805</v>
      </c>
      <c r="F1503" s="609" t="s">
        <v>2120</v>
      </c>
      <c r="G1503" s="610"/>
      <c r="H1503" s="610"/>
      <c r="I1503" s="611" t="s">
        <v>175</v>
      </c>
      <c r="J1503" s="616">
        <v>0</v>
      </c>
      <c r="K1503" s="613">
        <v>0</v>
      </c>
      <c r="L1503" s="616">
        <v>0</v>
      </c>
      <c r="M1503" s="616">
        <v>93</v>
      </c>
      <c r="N1503" s="614">
        <v>90.77</v>
      </c>
      <c r="O1503" s="648"/>
      <c r="P1503" s="648"/>
      <c r="R1503" s="626"/>
      <c r="T1503" s="633"/>
      <c r="U1503" s="634"/>
    </row>
    <row r="1504" spans="2:21" ht="19.149999999999999" customHeight="1">
      <c r="B1504" s="606" t="s">
        <v>248</v>
      </c>
      <c r="C1504" s="654">
        <v>84</v>
      </c>
      <c r="D1504" s="607">
        <v>840</v>
      </c>
      <c r="E1504" s="608">
        <v>846806</v>
      </c>
      <c r="F1504" s="609" t="s">
        <v>1537</v>
      </c>
      <c r="G1504" s="610"/>
      <c r="H1504" s="610"/>
      <c r="I1504" s="611" t="s">
        <v>175</v>
      </c>
      <c r="J1504" s="616">
        <v>12</v>
      </c>
      <c r="K1504" s="613">
        <v>5</v>
      </c>
      <c r="L1504" s="616">
        <v>11</v>
      </c>
      <c r="M1504" s="616">
        <v>11</v>
      </c>
      <c r="N1504" s="614">
        <v>5.9160000000000004</v>
      </c>
      <c r="O1504" s="648"/>
      <c r="P1504" s="648"/>
      <c r="R1504" s="626"/>
      <c r="T1504" s="633"/>
      <c r="U1504" s="634"/>
    </row>
    <row r="1505" spans="2:21" ht="19.149999999999999" customHeight="1">
      <c r="B1505" s="606" t="s">
        <v>248</v>
      </c>
      <c r="C1505" s="654">
        <v>84</v>
      </c>
      <c r="D1505" s="607">
        <v>840</v>
      </c>
      <c r="E1505" s="608">
        <v>846807</v>
      </c>
      <c r="F1505" s="609" t="s">
        <v>1571</v>
      </c>
      <c r="G1505" s="610"/>
      <c r="H1505" s="610"/>
      <c r="I1505" s="611" t="s">
        <v>175</v>
      </c>
      <c r="J1505" s="616">
        <v>200</v>
      </c>
      <c r="K1505" s="613">
        <v>200</v>
      </c>
      <c r="L1505" s="616">
        <v>220</v>
      </c>
      <c r="M1505" s="616">
        <v>120</v>
      </c>
      <c r="N1505" s="614">
        <v>50.201999999999998</v>
      </c>
      <c r="O1505" s="648"/>
      <c r="P1505" s="648"/>
      <c r="R1505" s="626"/>
      <c r="T1505" s="633"/>
      <c r="U1505" s="634"/>
    </row>
    <row r="1506" spans="2:21" ht="19.149999999999999" customHeight="1">
      <c r="B1506" s="606" t="s">
        <v>248</v>
      </c>
      <c r="C1506" s="654">
        <v>84</v>
      </c>
      <c r="D1506" s="607">
        <v>840</v>
      </c>
      <c r="E1506" s="608">
        <v>846808</v>
      </c>
      <c r="F1506" s="609" t="s">
        <v>2000</v>
      </c>
      <c r="G1506" s="610"/>
      <c r="H1506" s="610"/>
      <c r="I1506" s="611" t="s">
        <v>175</v>
      </c>
      <c r="J1506" s="616">
        <v>0</v>
      </c>
      <c r="K1506" s="613">
        <v>0</v>
      </c>
      <c r="L1506" s="616">
        <v>0</v>
      </c>
      <c r="M1506" s="616">
        <v>260</v>
      </c>
      <c r="N1506" s="614">
        <v>0</v>
      </c>
      <c r="O1506" s="648"/>
      <c r="P1506" s="648"/>
      <c r="R1506" s="626"/>
      <c r="T1506" s="633"/>
      <c r="U1506" s="634"/>
    </row>
    <row r="1507" spans="2:21" ht="19.149999999999999" customHeight="1">
      <c r="B1507" s="747"/>
      <c r="C1507" s="656"/>
      <c r="D1507" s="618"/>
      <c r="E1507" s="619" t="s">
        <v>741</v>
      </c>
      <c r="F1507" s="620" t="s">
        <v>1065</v>
      </c>
      <c r="G1507" s="621">
        <f>SUM(G1480:G1505)</f>
        <v>3.3</v>
      </c>
      <c r="H1507" s="621">
        <f>SUM(H1480:H1505)</f>
        <v>3.1</v>
      </c>
      <c r="I1507" s="622"/>
      <c r="J1507" s="623">
        <f>SUM(J1480:J1506)</f>
        <v>16572</v>
      </c>
      <c r="K1507" s="624">
        <f>SUM(K1480:K1506)</f>
        <v>16138</v>
      </c>
      <c r="L1507" s="623">
        <f>SUM(L1480:L1506)</f>
        <v>16437</v>
      </c>
      <c r="M1507" s="623">
        <f>SUM(M1480:M1506)</f>
        <v>16946</v>
      </c>
      <c r="N1507" s="625">
        <f>SUM(N1480:N1506)</f>
        <v>15890.59477</v>
      </c>
      <c r="O1507" s="648"/>
      <c r="P1507" s="648"/>
      <c r="R1507" s="626"/>
      <c r="T1507" s="633"/>
      <c r="U1507" s="632"/>
    </row>
    <row r="1508" spans="2:21" ht="19.149999999999999" customHeight="1">
      <c r="B1508" s="704"/>
      <c r="C1508" s="684"/>
      <c r="D1508" s="705"/>
      <c r="E1508" s="695" t="s">
        <v>1525</v>
      </c>
      <c r="F1508" s="687" t="s">
        <v>1526</v>
      </c>
      <c r="G1508" s="706"/>
      <c r="H1508" s="706"/>
      <c r="I1508" s="707"/>
      <c r="J1508" s="690"/>
      <c r="K1508" s="693"/>
      <c r="L1508" s="690"/>
      <c r="M1508" s="690"/>
      <c r="N1508" s="708"/>
      <c r="O1508" s="648"/>
      <c r="P1508" s="648"/>
      <c r="R1508" s="626"/>
      <c r="T1508" s="633"/>
      <c r="U1508" s="632"/>
    </row>
    <row r="1509" spans="2:21" ht="19.149999999999999" customHeight="1">
      <c r="B1509" s="606" t="s">
        <v>1526</v>
      </c>
      <c r="C1509" s="654">
        <v>84</v>
      </c>
      <c r="D1509" s="607">
        <v>840</v>
      </c>
      <c r="E1509" s="608">
        <v>847101</v>
      </c>
      <c r="F1509" s="609" t="s">
        <v>2172</v>
      </c>
      <c r="G1509" s="610"/>
      <c r="H1509" s="610"/>
      <c r="I1509" s="611" t="s">
        <v>175</v>
      </c>
      <c r="J1509" s="616">
        <v>336</v>
      </c>
      <c r="K1509" s="613">
        <v>0</v>
      </c>
      <c r="L1509" s="616">
        <v>0</v>
      </c>
      <c r="M1509" s="616">
        <v>0</v>
      </c>
      <c r="N1509" s="614">
        <v>0</v>
      </c>
      <c r="O1509" s="648"/>
      <c r="P1509" s="648"/>
      <c r="R1509" s="626"/>
      <c r="T1509" s="633"/>
      <c r="U1509" s="634"/>
    </row>
    <row r="1510" spans="2:21" ht="19.149999999999999" customHeight="1">
      <c r="B1510" s="606" t="s">
        <v>1526</v>
      </c>
      <c r="C1510" s="654">
        <v>84</v>
      </c>
      <c r="D1510" s="607">
        <v>780</v>
      </c>
      <c r="E1510" s="608">
        <v>847102</v>
      </c>
      <c r="F1510" s="609" t="s">
        <v>1997</v>
      </c>
      <c r="G1510" s="610"/>
      <c r="H1510" s="610"/>
      <c r="I1510" s="611" t="s">
        <v>175</v>
      </c>
      <c r="J1510" s="616">
        <f>150</f>
        <v>150</v>
      </c>
      <c r="K1510" s="613">
        <v>163</v>
      </c>
      <c r="L1510" s="616">
        <v>184</v>
      </c>
      <c r="M1510" s="616">
        <v>120</v>
      </c>
      <c r="N1510" s="614">
        <v>0</v>
      </c>
      <c r="O1510" s="648"/>
      <c r="P1510" s="648"/>
      <c r="R1510" s="626"/>
      <c r="T1510" s="633"/>
      <c r="U1510" s="634"/>
    </row>
    <row r="1511" spans="2:21" ht="28">
      <c r="B1511" s="606" t="s">
        <v>1526</v>
      </c>
      <c r="C1511" s="654">
        <v>84</v>
      </c>
      <c r="D1511" s="607">
        <v>840</v>
      </c>
      <c r="E1511" s="608">
        <v>847102</v>
      </c>
      <c r="F1511" s="609" t="s">
        <v>1906</v>
      </c>
      <c r="G1511" s="610"/>
      <c r="H1511" s="610"/>
      <c r="I1511" s="611" t="s">
        <v>175</v>
      </c>
      <c r="J1511" s="616">
        <v>450</v>
      </c>
      <c r="K1511" s="613">
        <v>530</v>
      </c>
      <c r="L1511" s="616">
        <v>480</v>
      </c>
      <c r="M1511" s="616">
        <v>350</v>
      </c>
      <c r="N1511" s="614">
        <v>461.24547999999999</v>
      </c>
      <c r="O1511" s="648"/>
      <c r="P1511" s="648"/>
      <c r="R1511" s="626"/>
      <c r="T1511" s="633"/>
      <c r="U1511" s="634"/>
    </row>
    <row r="1512" spans="2:21" ht="19.149999999999999" customHeight="1">
      <c r="B1512" s="606" t="s">
        <v>1526</v>
      </c>
      <c r="C1512" s="654">
        <v>84</v>
      </c>
      <c r="D1512" s="607">
        <v>840</v>
      </c>
      <c r="E1512" s="608">
        <v>847103</v>
      </c>
      <c r="F1512" s="609" t="s">
        <v>1485</v>
      </c>
      <c r="G1512" s="610"/>
      <c r="H1512" s="610"/>
      <c r="I1512" s="611" t="s">
        <v>175</v>
      </c>
      <c r="J1512" s="616">
        <v>15</v>
      </c>
      <c r="K1512" s="613">
        <v>15</v>
      </c>
      <c r="L1512" s="616">
        <v>10</v>
      </c>
      <c r="M1512" s="616">
        <v>10</v>
      </c>
      <c r="N1512" s="614">
        <v>28.392580000000002</v>
      </c>
      <c r="O1512" s="648"/>
      <c r="P1512" s="648"/>
      <c r="R1512" s="626"/>
      <c r="T1512" s="633"/>
      <c r="U1512" s="634"/>
    </row>
    <row r="1513" spans="2:21" ht="19.149999999999999" customHeight="1">
      <c r="B1513" s="606" t="s">
        <v>1526</v>
      </c>
      <c r="C1513" s="654">
        <v>84</v>
      </c>
      <c r="D1513" s="607">
        <v>841</v>
      </c>
      <c r="E1513" s="608">
        <v>847103</v>
      </c>
      <c r="F1513" s="609" t="s">
        <v>1573</v>
      </c>
      <c r="G1513" s="610"/>
      <c r="H1513" s="610"/>
      <c r="I1513" s="611" t="s">
        <v>44</v>
      </c>
      <c r="J1513" s="616">
        <f>48</f>
        <v>48</v>
      </c>
      <c r="K1513" s="613">
        <v>0</v>
      </c>
      <c r="L1513" s="616">
        <v>50</v>
      </c>
      <c r="M1513" s="616">
        <v>50</v>
      </c>
      <c r="N1513" s="614">
        <v>23</v>
      </c>
      <c r="O1513" s="648"/>
      <c r="P1513" s="648"/>
      <c r="R1513" s="626"/>
      <c r="T1513" s="633"/>
      <c r="U1513" s="634"/>
    </row>
    <row r="1514" spans="2:21" ht="19.149999999999999" customHeight="1">
      <c r="B1514" s="606" t="s">
        <v>1526</v>
      </c>
      <c r="C1514" s="654">
        <v>84</v>
      </c>
      <c r="D1514" s="607">
        <v>184</v>
      </c>
      <c r="E1514" s="608">
        <v>847104</v>
      </c>
      <c r="F1514" s="609" t="s">
        <v>1640</v>
      </c>
      <c r="G1514" s="610">
        <v>1.2000000000000002</v>
      </c>
      <c r="H1514" s="610">
        <v>1.1352</v>
      </c>
      <c r="I1514" s="611" t="s">
        <v>669</v>
      </c>
      <c r="J1514" s="616">
        <v>180</v>
      </c>
      <c r="K1514" s="613">
        <v>156</v>
      </c>
      <c r="L1514" s="616">
        <v>151</v>
      </c>
      <c r="M1514" s="616">
        <v>151</v>
      </c>
      <c r="N1514" s="614">
        <v>140.60238000000001</v>
      </c>
      <c r="O1514" s="648"/>
      <c r="P1514" s="648"/>
      <c r="R1514" s="626"/>
      <c r="T1514" s="633"/>
      <c r="U1514" s="634"/>
    </row>
    <row r="1515" spans="2:21" ht="19.149999999999999" customHeight="1">
      <c r="B1515" s="606" t="s">
        <v>1526</v>
      </c>
      <c r="C1515" s="654">
        <v>84</v>
      </c>
      <c r="D1515" s="607">
        <v>840</v>
      </c>
      <c r="E1515" s="608">
        <v>847104</v>
      </c>
      <c r="F1515" s="609" t="s">
        <v>1770</v>
      </c>
      <c r="G1515" s="610"/>
      <c r="H1515" s="610"/>
      <c r="I1515" s="611" t="s">
        <v>175</v>
      </c>
      <c r="J1515" s="616">
        <v>65</v>
      </c>
      <c r="K1515" s="613">
        <v>43</v>
      </c>
      <c r="L1515" s="616">
        <v>65</v>
      </c>
      <c r="M1515" s="616">
        <v>65</v>
      </c>
      <c r="N1515" s="614">
        <v>62.871989999999997</v>
      </c>
      <c r="O1515" s="648"/>
      <c r="P1515" s="648"/>
      <c r="R1515" s="626"/>
      <c r="T1515" s="633"/>
      <c r="U1515" s="634"/>
    </row>
    <row r="1516" spans="2:21" ht="19.149999999999999" customHeight="1">
      <c r="B1516" s="606" t="s">
        <v>1526</v>
      </c>
      <c r="C1516" s="654">
        <v>84</v>
      </c>
      <c r="D1516" s="607">
        <v>184</v>
      </c>
      <c r="E1516" s="608">
        <v>847105</v>
      </c>
      <c r="F1516" s="609" t="s">
        <v>1847</v>
      </c>
      <c r="G1516" s="610">
        <v>2.2999999999999998</v>
      </c>
      <c r="H1516" s="610">
        <v>2.0499999999999998</v>
      </c>
      <c r="I1516" s="611" t="s">
        <v>669</v>
      </c>
      <c r="J1516" s="616">
        <v>350</v>
      </c>
      <c r="K1516" s="613">
        <v>303</v>
      </c>
      <c r="L1516" s="616">
        <v>314</v>
      </c>
      <c r="M1516" s="616">
        <v>314</v>
      </c>
      <c r="N1516" s="614">
        <v>282.45783</v>
      </c>
      <c r="O1516" s="648"/>
      <c r="P1516" s="648"/>
      <c r="R1516" s="626"/>
      <c r="T1516" s="633"/>
      <c r="U1516" s="634"/>
    </row>
    <row r="1517" spans="2:21" ht="19.149999999999999" customHeight="1">
      <c r="B1517" s="606" t="s">
        <v>1526</v>
      </c>
      <c r="C1517" s="654">
        <v>84</v>
      </c>
      <c r="D1517" s="607">
        <v>185</v>
      </c>
      <c r="E1517" s="608">
        <v>847105</v>
      </c>
      <c r="F1517" s="609" t="s">
        <v>1927</v>
      </c>
      <c r="G1517" s="610">
        <v>0</v>
      </c>
      <c r="H1517" s="610">
        <v>0</v>
      </c>
      <c r="I1517" s="611" t="s">
        <v>669</v>
      </c>
      <c r="J1517" s="616">
        <v>75</v>
      </c>
      <c r="K1517" s="613">
        <v>14</v>
      </c>
      <c r="L1517" s="616">
        <v>60</v>
      </c>
      <c r="M1517" s="616">
        <v>60</v>
      </c>
      <c r="N1517" s="614">
        <v>52.349199999999996</v>
      </c>
      <c r="O1517" s="648"/>
      <c r="P1517" s="648"/>
      <c r="R1517" s="626"/>
      <c r="T1517" s="633"/>
      <c r="U1517" s="634"/>
    </row>
    <row r="1518" spans="2:21" ht="19.149999999999999" customHeight="1">
      <c r="B1518" s="606" t="s">
        <v>1526</v>
      </c>
      <c r="C1518" s="654">
        <v>84</v>
      </c>
      <c r="D1518" s="607">
        <v>840</v>
      </c>
      <c r="E1518" s="608">
        <v>847105</v>
      </c>
      <c r="F1518" s="609" t="s">
        <v>1848</v>
      </c>
      <c r="G1518" s="610"/>
      <c r="H1518" s="610"/>
      <c r="I1518" s="611" t="s">
        <v>175</v>
      </c>
      <c r="J1518" s="616">
        <v>65</v>
      </c>
      <c r="K1518" s="613">
        <v>10</v>
      </c>
      <c r="L1518" s="616">
        <v>65</v>
      </c>
      <c r="M1518" s="616">
        <v>65</v>
      </c>
      <c r="N1518" s="614">
        <v>62.775480000000002</v>
      </c>
      <c r="O1518" s="648"/>
      <c r="P1518" s="648"/>
      <c r="R1518" s="626"/>
      <c r="T1518" s="633"/>
      <c r="U1518" s="634"/>
    </row>
    <row r="1519" spans="2:21" ht="19.149999999999999" customHeight="1">
      <c r="B1519" s="606" t="s">
        <v>1526</v>
      </c>
      <c r="C1519" s="654">
        <v>84</v>
      </c>
      <c r="D1519" s="607">
        <v>184</v>
      </c>
      <c r="E1519" s="608">
        <v>847106</v>
      </c>
      <c r="F1519" s="609" t="s">
        <v>1845</v>
      </c>
      <c r="G1519" s="610">
        <v>0.5</v>
      </c>
      <c r="H1519" s="610">
        <v>0.5</v>
      </c>
      <c r="I1519" s="611" t="s">
        <v>669</v>
      </c>
      <c r="J1519" s="616">
        <v>90</v>
      </c>
      <c r="K1519" s="613">
        <v>87</v>
      </c>
      <c r="L1519" s="616">
        <v>90</v>
      </c>
      <c r="M1519" s="616">
        <v>90</v>
      </c>
      <c r="N1519" s="614">
        <v>68.053979999999996</v>
      </c>
      <c r="O1519" s="648"/>
      <c r="P1519" s="648"/>
      <c r="R1519" s="626"/>
      <c r="T1519" s="633"/>
      <c r="U1519" s="634"/>
    </row>
    <row r="1520" spans="2:21" ht="19.149999999999999" customHeight="1">
      <c r="B1520" s="606" t="s">
        <v>1526</v>
      </c>
      <c r="C1520" s="654">
        <v>84</v>
      </c>
      <c r="D1520" s="607">
        <v>840</v>
      </c>
      <c r="E1520" s="608">
        <v>847106</v>
      </c>
      <c r="F1520" s="609" t="s">
        <v>1905</v>
      </c>
      <c r="G1520" s="610"/>
      <c r="H1520" s="610"/>
      <c r="I1520" s="611" t="s">
        <v>175</v>
      </c>
      <c r="J1520" s="616">
        <v>0</v>
      </c>
      <c r="K1520" s="613">
        <v>0</v>
      </c>
      <c r="L1520" s="616">
        <v>0</v>
      </c>
      <c r="M1520" s="616">
        <v>0</v>
      </c>
      <c r="N1520" s="614">
        <v>1.9917899999999999</v>
      </c>
      <c r="O1520" s="648"/>
      <c r="P1520" s="648"/>
      <c r="R1520" s="626"/>
      <c r="T1520" s="633"/>
      <c r="U1520" s="634"/>
    </row>
    <row r="1521" spans="2:21" ht="18" customHeight="1">
      <c r="B1521" s="606" t="s">
        <v>1526</v>
      </c>
      <c r="C1521" s="655">
        <v>84</v>
      </c>
      <c r="D1521" s="615">
        <v>841</v>
      </c>
      <c r="E1521" s="608">
        <v>847106</v>
      </c>
      <c r="F1521" s="609" t="s">
        <v>2223</v>
      </c>
      <c r="G1521" s="610"/>
      <c r="H1521" s="610"/>
      <c r="I1521" s="611" t="s">
        <v>175</v>
      </c>
      <c r="J1521" s="616">
        <v>96</v>
      </c>
      <c r="K1521" s="613">
        <v>96</v>
      </c>
      <c r="L1521" s="616">
        <v>122</v>
      </c>
      <c r="M1521" s="616">
        <v>115</v>
      </c>
      <c r="N1521" s="614">
        <v>146.75700000000001</v>
      </c>
      <c r="O1521" s="648"/>
      <c r="P1521" s="648"/>
      <c r="R1521" s="626"/>
      <c r="T1521" s="633"/>
      <c r="U1521" s="634"/>
    </row>
    <row r="1522" spans="2:21" ht="19.149999999999999" customHeight="1">
      <c r="B1522" s="606" t="s">
        <v>1526</v>
      </c>
      <c r="C1522" s="654">
        <v>84</v>
      </c>
      <c r="D1522" s="607">
        <v>842</v>
      </c>
      <c r="E1522" s="608">
        <v>847106</v>
      </c>
      <c r="F1522" s="609" t="s">
        <v>1846</v>
      </c>
      <c r="G1522" s="610"/>
      <c r="H1522" s="610"/>
      <c r="I1522" s="611" t="s">
        <v>175</v>
      </c>
      <c r="J1522" s="616">
        <v>28</v>
      </c>
      <c r="K1522" s="613">
        <v>15</v>
      </c>
      <c r="L1522" s="616">
        <v>28</v>
      </c>
      <c r="M1522" s="616">
        <v>28</v>
      </c>
      <c r="N1522" s="614">
        <v>23.84</v>
      </c>
      <c r="O1522" s="648"/>
      <c r="P1522" s="648"/>
      <c r="R1522" s="626"/>
      <c r="T1522" s="633"/>
      <c r="U1522" s="634"/>
    </row>
    <row r="1523" spans="2:21" ht="19.149999999999999" customHeight="1">
      <c r="B1523" s="606" t="s">
        <v>1526</v>
      </c>
      <c r="C1523" s="655">
        <v>84</v>
      </c>
      <c r="D1523" s="615">
        <v>840</v>
      </c>
      <c r="E1523" s="608">
        <v>847107</v>
      </c>
      <c r="F1523" s="609" t="s">
        <v>1938</v>
      </c>
      <c r="G1523" s="610"/>
      <c r="H1523" s="610"/>
      <c r="I1523" s="611" t="s">
        <v>175</v>
      </c>
      <c r="J1523" s="616">
        <v>180</v>
      </c>
      <c r="K1523" s="613">
        <v>120</v>
      </c>
      <c r="L1523" s="616">
        <v>145</v>
      </c>
      <c r="M1523" s="616">
        <v>320</v>
      </c>
      <c r="N1523" s="614">
        <v>0</v>
      </c>
      <c r="O1523" s="648"/>
      <c r="P1523" s="648"/>
      <c r="R1523" s="626"/>
      <c r="T1523" s="633"/>
      <c r="U1523" s="634"/>
    </row>
    <row r="1524" spans="2:21" ht="28">
      <c r="B1524" s="606" t="s">
        <v>1526</v>
      </c>
      <c r="C1524" s="654">
        <v>84</v>
      </c>
      <c r="D1524" s="607">
        <v>840</v>
      </c>
      <c r="E1524" s="608">
        <v>847301</v>
      </c>
      <c r="F1524" s="609" t="s">
        <v>2143</v>
      </c>
      <c r="G1524" s="610"/>
      <c r="H1524" s="610"/>
      <c r="I1524" s="611" t="s">
        <v>175</v>
      </c>
      <c r="J1524" s="616">
        <v>54</v>
      </c>
      <c r="K1524" s="613">
        <v>40</v>
      </c>
      <c r="L1524" s="616">
        <v>99</v>
      </c>
      <c r="M1524" s="616">
        <v>55</v>
      </c>
      <c r="N1524" s="614">
        <v>116.95699999999999</v>
      </c>
      <c r="O1524" s="648"/>
      <c r="P1524" s="648"/>
      <c r="R1524" s="626"/>
      <c r="T1524" s="633"/>
      <c r="U1524" s="634"/>
    </row>
    <row r="1525" spans="2:21" ht="19.149999999999999" customHeight="1">
      <c r="B1525" s="606" t="s">
        <v>1526</v>
      </c>
      <c r="C1525" s="654">
        <v>84</v>
      </c>
      <c r="D1525" s="607">
        <v>841</v>
      </c>
      <c r="E1525" s="608">
        <v>847301</v>
      </c>
      <c r="F1525" s="609" t="s">
        <v>2224</v>
      </c>
      <c r="G1525" s="610"/>
      <c r="H1525" s="610"/>
      <c r="I1525" s="611" t="s">
        <v>175</v>
      </c>
      <c r="J1525" s="616">
        <v>480</v>
      </c>
      <c r="K1525" s="613">
        <v>475</v>
      </c>
      <c r="L1525" s="616">
        <v>485</v>
      </c>
      <c r="M1525" s="616">
        <v>120</v>
      </c>
      <c r="N1525" s="614">
        <v>143.501</v>
      </c>
      <c r="O1525" s="648"/>
      <c r="P1525" s="648"/>
      <c r="R1525" s="626"/>
      <c r="T1525" s="633"/>
      <c r="U1525" s="634"/>
    </row>
    <row r="1526" spans="2:21" ht="19.149999999999999" customHeight="1">
      <c r="B1526" s="606" t="s">
        <v>1526</v>
      </c>
      <c r="C1526" s="655">
        <v>84</v>
      </c>
      <c r="D1526" s="615">
        <v>755</v>
      </c>
      <c r="E1526" s="608">
        <v>847302</v>
      </c>
      <c r="F1526" s="609" t="s">
        <v>1535</v>
      </c>
      <c r="G1526" s="610"/>
      <c r="H1526" s="610"/>
      <c r="I1526" s="611" t="s">
        <v>44</v>
      </c>
      <c r="J1526" s="616">
        <v>38</v>
      </c>
      <c r="K1526" s="613">
        <v>1</v>
      </c>
      <c r="L1526" s="616">
        <v>1</v>
      </c>
      <c r="M1526" s="616">
        <v>40</v>
      </c>
      <c r="N1526" s="614">
        <v>34.642969999999998</v>
      </c>
      <c r="O1526" s="648"/>
      <c r="P1526" s="648"/>
      <c r="R1526" s="626"/>
      <c r="T1526" s="633"/>
      <c r="U1526" s="634"/>
    </row>
    <row r="1527" spans="2:21" ht="19.149999999999999" customHeight="1">
      <c r="B1527" s="606" t="s">
        <v>1526</v>
      </c>
      <c r="C1527" s="654">
        <v>84</v>
      </c>
      <c r="D1527" s="607">
        <v>840</v>
      </c>
      <c r="E1527" s="608">
        <v>847302</v>
      </c>
      <c r="F1527" s="609" t="s">
        <v>2236</v>
      </c>
      <c r="G1527" s="610"/>
      <c r="H1527" s="610"/>
      <c r="I1527" s="611" t="s">
        <v>175</v>
      </c>
      <c r="J1527" s="616">
        <v>15</v>
      </c>
      <c r="K1527" s="613">
        <v>15</v>
      </c>
      <c r="L1527" s="616">
        <v>20</v>
      </c>
      <c r="M1527" s="616">
        <v>20</v>
      </c>
      <c r="N1527" s="614">
        <v>11.664100000000001</v>
      </c>
      <c r="O1527" s="648"/>
      <c r="P1527" s="648"/>
      <c r="R1527" s="626"/>
      <c r="T1527" s="633"/>
      <c r="U1527" s="634"/>
    </row>
    <row r="1528" spans="2:21" ht="19.149999999999999" customHeight="1">
      <c r="B1528" s="606" t="s">
        <v>1526</v>
      </c>
      <c r="C1528" s="654">
        <v>84</v>
      </c>
      <c r="D1528" s="607">
        <v>841</v>
      </c>
      <c r="E1528" s="608">
        <v>847302</v>
      </c>
      <c r="F1528" s="609" t="s">
        <v>2398</v>
      </c>
      <c r="G1528" s="610"/>
      <c r="H1528" s="610"/>
      <c r="I1528" s="611" t="s">
        <v>44</v>
      </c>
      <c r="J1528" s="616">
        <f>24</f>
        <v>24</v>
      </c>
      <c r="K1528" s="613">
        <v>18</v>
      </c>
      <c r="L1528" s="616">
        <v>25</v>
      </c>
      <c r="M1528" s="616">
        <v>25</v>
      </c>
      <c r="N1528" s="614">
        <v>22.99915</v>
      </c>
      <c r="O1528" s="648"/>
      <c r="P1528" s="648"/>
      <c r="R1528" s="626"/>
      <c r="T1528" s="633"/>
      <c r="U1528" s="634"/>
    </row>
    <row r="1529" spans="2:21" ht="19.149999999999999" customHeight="1">
      <c r="B1529" s="606" t="s">
        <v>1526</v>
      </c>
      <c r="C1529" s="654">
        <v>84</v>
      </c>
      <c r="D1529" s="607">
        <v>840</v>
      </c>
      <c r="E1529" s="608">
        <v>847303</v>
      </c>
      <c r="F1529" s="609" t="s">
        <v>2121</v>
      </c>
      <c r="G1529" s="610"/>
      <c r="H1529" s="610"/>
      <c r="I1529" s="611" t="s">
        <v>175</v>
      </c>
      <c r="J1529" s="616">
        <v>0</v>
      </c>
      <c r="K1529" s="613">
        <v>0</v>
      </c>
      <c r="L1529" s="616">
        <v>0</v>
      </c>
      <c r="M1529" s="616">
        <v>44</v>
      </c>
      <c r="N1529" s="614">
        <v>0</v>
      </c>
      <c r="O1529" s="648"/>
      <c r="P1529" s="648"/>
      <c r="R1529" s="626"/>
      <c r="T1529" s="633"/>
      <c r="U1529" s="634"/>
    </row>
    <row r="1530" spans="2:21" ht="14">
      <c r="B1530" s="747"/>
      <c r="C1530" s="656"/>
      <c r="D1530" s="618"/>
      <c r="E1530" s="619" t="s">
        <v>1525</v>
      </c>
      <c r="F1530" s="620" t="s">
        <v>1527</v>
      </c>
      <c r="G1530" s="621">
        <f>SUM(G1508:G1529)</f>
        <v>4</v>
      </c>
      <c r="H1530" s="621">
        <f>SUM(H1508:H1529)</f>
        <v>3.6852</v>
      </c>
      <c r="I1530" s="622"/>
      <c r="J1530" s="623">
        <f>SUM(J1508:J1529)</f>
        <v>2739</v>
      </c>
      <c r="K1530" s="624">
        <f>SUM(K1508:K1529)</f>
        <v>2101</v>
      </c>
      <c r="L1530" s="623">
        <f>SUM(L1508:L1529)</f>
        <v>2394</v>
      </c>
      <c r="M1530" s="623">
        <f>SUM(M1508:M1529)</f>
        <v>2042</v>
      </c>
      <c r="N1530" s="625">
        <f>SUM(N1508:N1529)</f>
        <v>1684.1019300000003</v>
      </c>
      <c r="O1530" s="648"/>
      <c r="P1530" s="648"/>
      <c r="R1530" s="626"/>
      <c r="T1530" s="633"/>
      <c r="U1530" s="632"/>
    </row>
    <row r="1531" spans="2:21" ht="19.149999999999999" customHeight="1">
      <c r="B1531" s="704"/>
      <c r="C1531" s="684"/>
      <c r="D1531" s="705"/>
      <c r="E1531" s="695" t="s">
        <v>742</v>
      </c>
      <c r="F1531" s="687" t="s">
        <v>752</v>
      </c>
      <c r="G1531" s="706"/>
      <c r="H1531" s="706"/>
      <c r="I1531" s="707"/>
      <c r="J1531" s="690"/>
      <c r="K1531" s="693"/>
      <c r="L1531" s="690"/>
      <c r="M1531" s="690"/>
      <c r="N1531" s="708"/>
      <c r="O1531" s="648"/>
      <c r="P1531" s="648"/>
      <c r="R1531" s="626"/>
      <c r="T1531" s="633"/>
      <c r="U1531" s="632"/>
    </row>
    <row r="1532" spans="2:21" ht="19.149999999999999" customHeight="1">
      <c r="B1532" s="606" t="s">
        <v>333</v>
      </c>
      <c r="C1532" s="654">
        <v>84</v>
      </c>
      <c r="D1532" s="607">
        <v>100</v>
      </c>
      <c r="E1532" s="608">
        <v>847401</v>
      </c>
      <c r="F1532" s="609" t="s">
        <v>1488</v>
      </c>
      <c r="G1532" s="610">
        <v>13.34</v>
      </c>
      <c r="H1532" s="610">
        <v>11.289399999999999</v>
      </c>
      <c r="I1532" s="611" t="s">
        <v>669</v>
      </c>
      <c r="J1532" s="616">
        <v>2700</v>
      </c>
      <c r="K1532" s="613">
        <v>2402</v>
      </c>
      <c r="L1532" s="616">
        <v>2750</v>
      </c>
      <c r="M1532" s="616">
        <v>2750</v>
      </c>
      <c r="N1532" s="614">
        <v>2310.51485</v>
      </c>
      <c r="O1532" s="648"/>
      <c r="P1532" s="648"/>
      <c r="R1532" s="626"/>
      <c r="T1532" s="633"/>
      <c r="U1532" s="634"/>
    </row>
    <row r="1533" spans="2:21" ht="19.149999999999999" customHeight="1">
      <c r="B1533" s="606" t="s">
        <v>333</v>
      </c>
      <c r="C1533" s="655">
        <v>84</v>
      </c>
      <c r="D1533" s="615">
        <v>101</v>
      </c>
      <c r="E1533" s="608">
        <v>847401</v>
      </c>
      <c r="F1533" s="609" t="s">
        <v>334</v>
      </c>
      <c r="G1533" s="610">
        <v>1</v>
      </c>
      <c r="H1533" s="610">
        <v>1</v>
      </c>
      <c r="I1533" s="611" t="s">
        <v>669</v>
      </c>
      <c r="J1533" s="616">
        <v>125</v>
      </c>
      <c r="K1533" s="613">
        <v>120</v>
      </c>
      <c r="L1533" s="616">
        <v>122</v>
      </c>
      <c r="M1533" s="616">
        <v>147</v>
      </c>
      <c r="N1533" s="614">
        <v>124.79942999999999</v>
      </c>
      <c r="O1533" s="648"/>
      <c r="P1533" s="648"/>
      <c r="R1533" s="626"/>
      <c r="T1533" s="633"/>
      <c r="U1533" s="634"/>
    </row>
    <row r="1534" spans="2:21" ht="19.149999999999999" customHeight="1">
      <c r="B1534" s="606" t="s">
        <v>333</v>
      </c>
      <c r="C1534" s="654">
        <v>84</v>
      </c>
      <c r="D1534" s="607">
        <v>102</v>
      </c>
      <c r="E1534" s="608">
        <v>847401</v>
      </c>
      <c r="F1534" s="609" t="s">
        <v>252</v>
      </c>
      <c r="G1534" s="610">
        <v>0.44</v>
      </c>
      <c r="H1534" s="610">
        <v>0.44</v>
      </c>
      <c r="I1534" s="611" t="s">
        <v>669</v>
      </c>
      <c r="J1534" s="616">
        <v>80</v>
      </c>
      <c r="K1534" s="613">
        <v>74</v>
      </c>
      <c r="L1534" s="616">
        <v>120</v>
      </c>
      <c r="M1534" s="616">
        <v>120</v>
      </c>
      <c r="N1534" s="614">
        <v>104.92128</v>
      </c>
      <c r="O1534" s="648"/>
      <c r="P1534" s="648"/>
      <c r="R1534" s="626"/>
      <c r="T1534" s="633"/>
      <c r="U1534" s="634"/>
    </row>
    <row r="1535" spans="2:21" ht="28">
      <c r="B1535" s="606" t="s">
        <v>333</v>
      </c>
      <c r="C1535" s="654">
        <v>81</v>
      </c>
      <c r="D1535" s="607">
        <v>107</v>
      </c>
      <c r="E1535" s="608">
        <v>847401</v>
      </c>
      <c r="F1535" s="775" t="s">
        <v>1699</v>
      </c>
      <c r="G1535" s="610">
        <v>0.99999999999999978</v>
      </c>
      <c r="H1535" s="610">
        <v>1.0086666666666668</v>
      </c>
      <c r="I1535" s="611" t="s">
        <v>669</v>
      </c>
      <c r="J1535" s="616">
        <v>97</v>
      </c>
      <c r="K1535" s="613">
        <v>97</v>
      </c>
      <c r="L1535" s="616">
        <v>97</v>
      </c>
      <c r="M1535" s="616">
        <v>97</v>
      </c>
      <c r="N1535" s="614">
        <v>93.37008999999999</v>
      </c>
      <c r="O1535" s="648"/>
      <c r="P1535" s="648"/>
      <c r="R1535" s="626"/>
      <c r="T1535" s="633"/>
      <c r="U1535" s="634"/>
    </row>
    <row r="1536" spans="2:21" ht="19.149999999999999" customHeight="1">
      <c r="B1536" s="606" t="s">
        <v>333</v>
      </c>
      <c r="C1536" s="654">
        <v>84</v>
      </c>
      <c r="D1536" s="607">
        <v>108</v>
      </c>
      <c r="E1536" s="608">
        <v>847401</v>
      </c>
      <c r="F1536" s="609" t="s">
        <v>1574</v>
      </c>
      <c r="G1536" s="610">
        <v>2</v>
      </c>
      <c r="H1536" s="610">
        <v>1.7970833333333334</v>
      </c>
      <c r="I1536" s="611" t="s">
        <v>669</v>
      </c>
      <c r="J1536" s="616">
        <v>215</v>
      </c>
      <c r="K1536" s="613">
        <v>190</v>
      </c>
      <c r="L1536" s="616">
        <v>201</v>
      </c>
      <c r="M1536" s="616">
        <v>201</v>
      </c>
      <c r="N1536" s="614">
        <v>162.85108</v>
      </c>
      <c r="O1536" s="648"/>
      <c r="P1536" s="648"/>
      <c r="R1536" s="626"/>
      <c r="T1536" s="633"/>
      <c r="U1536" s="634"/>
    </row>
    <row r="1537" spans="2:21" ht="19.149999999999999" customHeight="1">
      <c r="B1537" s="606" t="s">
        <v>333</v>
      </c>
      <c r="C1537" s="654">
        <v>84</v>
      </c>
      <c r="D1537" s="607">
        <v>185</v>
      </c>
      <c r="E1537" s="608">
        <v>847401</v>
      </c>
      <c r="F1537" s="609" t="s">
        <v>1748</v>
      </c>
      <c r="G1537" s="610">
        <v>0</v>
      </c>
      <c r="H1537" s="610">
        <v>0</v>
      </c>
      <c r="I1537" s="611" t="s">
        <v>669</v>
      </c>
      <c r="J1537" s="616">
        <v>66</v>
      </c>
      <c r="K1537" s="613">
        <v>57</v>
      </c>
      <c r="L1537" s="616">
        <v>66</v>
      </c>
      <c r="M1537" s="616">
        <v>66</v>
      </c>
      <c r="N1537" s="614">
        <v>36.432110000000002</v>
      </c>
      <c r="O1537" s="648"/>
      <c r="P1537" s="648"/>
      <c r="R1537" s="626"/>
      <c r="T1537" s="633"/>
      <c r="U1537" s="634"/>
    </row>
    <row r="1538" spans="2:21" ht="19.149999999999999" customHeight="1">
      <c r="B1538" s="606" t="s">
        <v>333</v>
      </c>
      <c r="C1538" s="654">
        <v>5</v>
      </c>
      <c r="D1538" s="607">
        <v>420</v>
      </c>
      <c r="E1538" s="608">
        <v>847401</v>
      </c>
      <c r="F1538" s="609" t="s">
        <v>1489</v>
      </c>
      <c r="G1538" s="610"/>
      <c r="H1538" s="610"/>
      <c r="I1538" s="611" t="s">
        <v>44</v>
      </c>
      <c r="J1538" s="616">
        <v>4</v>
      </c>
      <c r="K1538" s="613">
        <v>4</v>
      </c>
      <c r="L1538" s="616">
        <v>4</v>
      </c>
      <c r="M1538" s="616">
        <v>4</v>
      </c>
      <c r="N1538" s="614">
        <v>3.6968800000000002</v>
      </c>
      <c r="O1538" s="648"/>
      <c r="P1538" s="648"/>
      <c r="R1538" s="626"/>
      <c r="T1538" s="633"/>
      <c r="U1538" s="634"/>
    </row>
    <row r="1539" spans="2:21" ht="19.149999999999999" customHeight="1">
      <c r="B1539" s="606" t="s">
        <v>333</v>
      </c>
      <c r="C1539" s="654">
        <v>84</v>
      </c>
      <c r="D1539" s="607">
        <v>430</v>
      </c>
      <c r="E1539" s="608">
        <v>847401</v>
      </c>
      <c r="F1539" s="609" t="s">
        <v>192</v>
      </c>
      <c r="G1539" s="610"/>
      <c r="H1539" s="610"/>
      <c r="I1539" s="611" t="s">
        <v>175</v>
      </c>
      <c r="J1539" s="616">
        <v>62</v>
      </c>
      <c r="K1539" s="613">
        <v>40</v>
      </c>
      <c r="L1539" s="616">
        <v>62</v>
      </c>
      <c r="M1539" s="616">
        <v>62</v>
      </c>
      <c r="N1539" s="614">
        <v>59.507419999999996</v>
      </c>
      <c r="O1539" s="648"/>
      <c r="P1539" s="648"/>
      <c r="R1539" s="626"/>
      <c r="T1539" s="633"/>
      <c r="U1539" s="634"/>
    </row>
    <row r="1540" spans="2:21" ht="19.149999999999999" customHeight="1">
      <c r="B1540" s="606" t="s">
        <v>333</v>
      </c>
      <c r="C1540" s="654">
        <v>84</v>
      </c>
      <c r="D1540" s="607">
        <v>432</v>
      </c>
      <c r="E1540" s="608">
        <v>847401</v>
      </c>
      <c r="F1540" s="609" t="s">
        <v>103</v>
      </c>
      <c r="G1540" s="610"/>
      <c r="H1540" s="610"/>
      <c r="I1540" s="611" t="s">
        <v>175</v>
      </c>
      <c r="J1540" s="616">
        <v>20</v>
      </c>
      <c r="K1540" s="613">
        <v>10</v>
      </c>
      <c r="L1540" s="616">
        <v>20</v>
      </c>
      <c r="M1540" s="616">
        <v>20</v>
      </c>
      <c r="N1540" s="614">
        <v>15.142100000000001</v>
      </c>
      <c r="O1540" s="648"/>
      <c r="P1540" s="648"/>
      <c r="R1540" s="626"/>
      <c r="T1540" s="633"/>
      <c r="U1540" s="634"/>
    </row>
    <row r="1541" spans="2:21" ht="19.149999999999999" customHeight="1">
      <c r="B1541" s="606" t="s">
        <v>333</v>
      </c>
      <c r="C1541" s="654">
        <v>10</v>
      </c>
      <c r="D1541" s="607">
        <v>540</v>
      </c>
      <c r="E1541" s="608">
        <v>847401</v>
      </c>
      <c r="F1541" s="609" t="s">
        <v>1648</v>
      </c>
      <c r="G1541" s="610"/>
      <c r="H1541" s="610"/>
      <c r="I1541" s="611" t="s">
        <v>175</v>
      </c>
      <c r="J1541" s="616">
        <v>6</v>
      </c>
      <c r="K1541" s="613">
        <v>6</v>
      </c>
      <c r="L1541" s="616">
        <v>6</v>
      </c>
      <c r="M1541" s="616">
        <v>9</v>
      </c>
      <c r="N1541" s="614">
        <v>5.0422900000000004</v>
      </c>
      <c r="O1541" s="648"/>
      <c r="P1541" s="648"/>
      <c r="R1541" s="626"/>
      <c r="T1541" s="633"/>
      <c r="U1541" s="634"/>
    </row>
    <row r="1542" spans="2:21" ht="19.149999999999999" customHeight="1">
      <c r="B1542" s="606" t="s">
        <v>333</v>
      </c>
      <c r="C1542" s="655">
        <v>84</v>
      </c>
      <c r="D1542" s="615">
        <v>720</v>
      </c>
      <c r="E1542" s="608">
        <v>847401</v>
      </c>
      <c r="F1542" s="609" t="s">
        <v>1490</v>
      </c>
      <c r="G1542" s="610"/>
      <c r="H1542" s="610"/>
      <c r="I1542" s="611" t="s">
        <v>44</v>
      </c>
      <c r="J1542" s="616">
        <v>352</v>
      </c>
      <c r="K1542" s="613">
        <v>350</v>
      </c>
      <c r="L1542" s="616">
        <v>360</v>
      </c>
      <c r="M1542" s="616">
        <v>370</v>
      </c>
      <c r="N1542" s="614">
        <v>325.94749000000002</v>
      </c>
      <c r="O1542" s="648"/>
      <c r="P1542" s="648"/>
      <c r="R1542" s="626"/>
      <c r="T1542" s="633"/>
      <c r="U1542" s="634"/>
    </row>
    <row r="1543" spans="2:21" ht="19.149999999999999" customHeight="1">
      <c r="B1543" s="606" t="s">
        <v>333</v>
      </c>
      <c r="C1543" s="654">
        <v>84</v>
      </c>
      <c r="D1543" s="607">
        <v>740</v>
      </c>
      <c r="E1543" s="608">
        <v>847401</v>
      </c>
      <c r="F1543" s="609" t="s">
        <v>474</v>
      </c>
      <c r="G1543" s="610"/>
      <c r="H1543" s="610"/>
      <c r="I1543" s="611" t="s">
        <v>44</v>
      </c>
      <c r="J1543" s="616">
        <v>10</v>
      </c>
      <c r="K1543" s="613">
        <v>10</v>
      </c>
      <c r="L1543" s="616">
        <v>10</v>
      </c>
      <c r="M1543" s="616">
        <v>10</v>
      </c>
      <c r="N1543" s="614">
        <v>9.5856299999999983</v>
      </c>
      <c r="O1543" s="648"/>
      <c r="P1543" s="648"/>
      <c r="R1543" s="626"/>
      <c r="T1543" s="633"/>
      <c r="U1543" s="634"/>
    </row>
    <row r="1544" spans="2:21" ht="19.149999999999999" customHeight="1">
      <c r="B1544" s="606" t="s">
        <v>333</v>
      </c>
      <c r="C1544" s="654">
        <v>5</v>
      </c>
      <c r="D1544" s="607">
        <v>742</v>
      </c>
      <c r="E1544" s="608">
        <v>847401</v>
      </c>
      <c r="F1544" s="710" t="s">
        <v>609</v>
      </c>
      <c r="G1544" s="610"/>
      <c r="H1544" s="610"/>
      <c r="I1544" s="611" t="s">
        <v>175</v>
      </c>
      <c r="J1544" s="616">
        <v>3</v>
      </c>
      <c r="K1544" s="613">
        <v>3</v>
      </c>
      <c r="L1544" s="616">
        <v>5</v>
      </c>
      <c r="M1544" s="616">
        <v>5</v>
      </c>
      <c r="N1544" s="614">
        <v>1.35212</v>
      </c>
      <c r="O1544" s="648"/>
      <c r="P1544" s="648"/>
      <c r="R1544" s="626"/>
      <c r="T1544" s="633"/>
      <c r="U1544" s="634"/>
    </row>
    <row r="1545" spans="2:21" ht="19.149999999999999" customHeight="1">
      <c r="B1545" s="606" t="s">
        <v>333</v>
      </c>
      <c r="C1545" s="655">
        <v>81</v>
      </c>
      <c r="D1545" s="615">
        <v>750</v>
      </c>
      <c r="E1545" s="608">
        <v>847401</v>
      </c>
      <c r="F1545" s="609" t="s">
        <v>361</v>
      </c>
      <c r="G1545" s="610"/>
      <c r="H1545" s="610"/>
      <c r="I1545" s="611" t="s">
        <v>175</v>
      </c>
      <c r="J1545" s="616">
        <v>174</v>
      </c>
      <c r="K1545" s="613">
        <v>156</v>
      </c>
      <c r="L1545" s="616">
        <v>156</v>
      </c>
      <c r="M1545" s="616">
        <v>167</v>
      </c>
      <c r="N1545" s="614">
        <v>158.74369000000002</v>
      </c>
      <c r="O1545" s="648"/>
      <c r="P1545" s="648"/>
      <c r="R1545" s="626"/>
      <c r="T1545" s="633"/>
      <c r="U1545" s="634"/>
    </row>
    <row r="1546" spans="2:21" ht="19.149999999999999" customHeight="1">
      <c r="B1546" s="606" t="s">
        <v>333</v>
      </c>
      <c r="C1546" s="654">
        <v>84</v>
      </c>
      <c r="D1546" s="607">
        <v>755</v>
      </c>
      <c r="E1546" s="608">
        <v>847401</v>
      </c>
      <c r="F1546" s="609" t="s">
        <v>1344</v>
      </c>
      <c r="G1546" s="610"/>
      <c r="H1546" s="610"/>
      <c r="I1546" s="611" t="s">
        <v>44</v>
      </c>
      <c r="J1546" s="616">
        <v>18</v>
      </c>
      <c r="K1546" s="613">
        <v>19</v>
      </c>
      <c r="L1546" s="616">
        <v>19</v>
      </c>
      <c r="M1546" s="616">
        <v>19</v>
      </c>
      <c r="N1546" s="904">
        <v>15.856</v>
      </c>
      <c r="O1546" s="648"/>
      <c r="P1546" s="648"/>
      <c r="R1546" s="626"/>
      <c r="T1546" s="633"/>
      <c r="U1546" s="634"/>
    </row>
    <row r="1547" spans="2:21" ht="18.649999999999999" customHeight="1">
      <c r="B1547" s="606" t="s">
        <v>333</v>
      </c>
      <c r="C1547" s="655">
        <v>81</v>
      </c>
      <c r="D1547" s="615">
        <v>784</v>
      </c>
      <c r="E1547" s="608">
        <v>847401</v>
      </c>
      <c r="F1547" s="724" t="s">
        <v>29</v>
      </c>
      <c r="G1547" s="610"/>
      <c r="H1547" s="610"/>
      <c r="I1547" s="611" t="s">
        <v>44</v>
      </c>
      <c r="J1547" s="616">
        <v>46</v>
      </c>
      <c r="K1547" s="613">
        <v>48</v>
      </c>
      <c r="L1547" s="616">
        <v>48</v>
      </c>
      <c r="M1547" s="616">
        <v>50</v>
      </c>
      <c r="N1547" s="614">
        <v>50</v>
      </c>
      <c r="O1547" s="648"/>
      <c r="P1547" s="648"/>
      <c r="R1547" s="626"/>
      <c r="T1547" s="633"/>
      <c r="U1547" s="634"/>
    </row>
    <row r="1548" spans="2:21" ht="19.149999999999999" customHeight="1">
      <c r="B1548" s="606" t="s">
        <v>333</v>
      </c>
      <c r="C1548" s="654">
        <v>84</v>
      </c>
      <c r="D1548" s="607">
        <v>840</v>
      </c>
      <c r="E1548" s="608">
        <v>847404</v>
      </c>
      <c r="F1548" s="609" t="s">
        <v>1771</v>
      </c>
      <c r="G1548" s="610"/>
      <c r="H1548" s="610"/>
      <c r="I1548" s="611" t="s">
        <v>175</v>
      </c>
      <c r="J1548" s="616">
        <v>190</v>
      </c>
      <c r="K1548" s="613">
        <v>100</v>
      </c>
      <c r="L1548" s="616">
        <v>100</v>
      </c>
      <c r="M1548" s="616">
        <v>200</v>
      </c>
      <c r="N1548" s="614">
        <v>189.34932999999998</v>
      </c>
      <c r="O1548" s="648"/>
      <c r="P1548" s="648"/>
      <c r="R1548" s="626"/>
      <c r="T1548" s="633"/>
      <c r="U1548" s="634"/>
    </row>
    <row r="1549" spans="2:21" ht="19.149999999999999" customHeight="1">
      <c r="B1549" s="747"/>
      <c r="C1549" s="656"/>
      <c r="D1549" s="618"/>
      <c r="E1549" s="619" t="s">
        <v>742</v>
      </c>
      <c r="F1549" s="620" t="s">
        <v>116</v>
      </c>
      <c r="G1549" s="621">
        <f>SUM(G1532:G1548)</f>
        <v>17.78</v>
      </c>
      <c r="H1549" s="621">
        <f>SUM(H1532:H1548)</f>
        <v>15.535149999999998</v>
      </c>
      <c r="I1549" s="622"/>
      <c r="J1549" s="623">
        <f>SUM(J1531:J1548)</f>
        <v>4168</v>
      </c>
      <c r="K1549" s="624">
        <f>SUM(K1531:K1548)</f>
        <v>3686</v>
      </c>
      <c r="L1549" s="623">
        <f>SUM(L1531:L1548)</f>
        <v>4146</v>
      </c>
      <c r="M1549" s="623">
        <f>SUM(M1531:M1548)</f>
        <v>4297</v>
      </c>
      <c r="N1549" s="625">
        <f>SUM(N1531:N1548)</f>
        <v>3667.1117900000004</v>
      </c>
      <c r="O1549" s="648"/>
      <c r="P1549" s="648"/>
      <c r="R1549" s="626"/>
      <c r="T1549" s="633"/>
      <c r="U1549" s="632"/>
    </row>
    <row r="1550" spans="2:21" ht="19.149999999999999" customHeight="1">
      <c r="B1550" s="704"/>
      <c r="C1550" s="684"/>
      <c r="D1550" s="705"/>
      <c r="E1550" s="695" t="s">
        <v>1491</v>
      </c>
      <c r="F1550" s="687" t="s">
        <v>823</v>
      </c>
      <c r="G1550" s="706"/>
      <c r="H1550" s="706"/>
      <c r="I1550" s="707"/>
      <c r="J1550" s="690"/>
      <c r="K1550" s="693"/>
      <c r="L1550" s="690"/>
      <c r="M1550" s="690"/>
      <c r="N1550" s="708"/>
      <c r="O1550" s="648"/>
      <c r="P1550" s="648"/>
      <c r="R1550" s="626"/>
      <c r="T1550" s="633"/>
      <c r="U1550" s="632"/>
    </row>
    <row r="1551" spans="2:21" ht="19.149999999999999" customHeight="1">
      <c r="B1551" s="606" t="s">
        <v>823</v>
      </c>
      <c r="C1551" s="654">
        <v>84</v>
      </c>
      <c r="D1551" s="607">
        <v>100</v>
      </c>
      <c r="E1551" s="608">
        <v>848201</v>
      </c>
      <c r="F1551" s="609" t="s">
        <v>1492</v>
      </c>
      <c r="G1551" s="610">
        <v>7.91</v>
      </c>
      <c r="H1551" s="610">
        <v>6.65</v>
      </c>
      <c r="I1551" s="611" t="s">
        <v>669</v>
      </c>
      <c r="J1551" s="616">
        <v>1405</v>
      </c>
      <c r="K1551" s="613">
        <v>1282</v>
      </c>
      <c r="L1551" s="616">
        <v>1282</v>
      </c>
      <c r="M1551" s="616">
        <v>1241</v>
      </c>
      <c r="N1551" s="614">
        <v>1108.97927</v>
      </c>
      <c r="O1551" s="648"/>
      <c r="P1551" s="648"/>
      <c r="R1551" s="626"/>
      <c r="T1551" s="633"/>
      <c r="U1551" s="634"/>
    </row>
    <row r="1552" spans="2:21" ht="19.149999999999999" customHeight="1">
      <c r="B1552" s="606" t="s">
        <v>823</v>
      </c>
      <c r="C1552" s="654">
        <v>84</v>
      </c>
      <c r="D1552" s="607">
        <v>101</v>
      </c>
      <c r="E1552" s="608">
        <v>848201</v>
      </c>
      <c r="F1552" s="609" t="s">
        <v>1805</v>
      </c>
      <c r="G1552" s="610">
        <v>0</v>
      </c>
      <c r="H1552" s="610">
        <v>0.19444999999999996</v>
      </c>
      <c r="I1552" s="611" t="s">
        <v>669</v>
      </c>
      <c r="J1552" s="616">
        <v>110</v>
      </c>
      <c r="K1552" s="613">
        <v>20</v>
      </c>
      <c r="L1552" s="616">
        <v>110</v>
      </c>
      <c r="M1552" s="616">
        <v>110</v>
      </c>
      <c r="N1552" s="614">
        <v>3.7432500000000002</v>
      </c>
      <c r="O1552" s="648"/>
      <c r="P1552" s="648"/>
      <c r="R1552" s="626"/>
      <c r="T1552" s="633"/>
      <c r="U1552" s="634"/>
    </row>
    <row r="1553" spans="2:21" ht="28">
      <c r="B1553" s="606" t="s">
        <v>823</v>
      </c>
      <c r="C1553" s="654">
        <v>84</v>
      </c>
      <c r="D1553" s="607">
        <v>184</v>
      </c>
      <c r="E1553" s="608">
        <v>848201</v>
      </c>
      <c r="F1553" s="609" t="s">
        <v>1779</v>
      </c>
      <c r="G1553" s="610">
        <v>0</v>
      </c>
      <c r="H1553" s="610">
        <v>0</v>
      </c>
      <c r="I1553" s="611" t="s">
        <v>669</v>
      </c>
      <c r="J1553" s="616">
        <v>0</v>
      </c>
      <c r="K1553" s="613">
        <v>0</v>
      </c>
      <c r="L1553" s="616">
        <v>0</v>
      </c>
      <c r="M1553" s="616">
        <v>0</v>
      </c>
      <c r="N1553" s="614">
        <v>3.2607399999999997</v>
      </c>
      <c r="O1553" s="648"/>
      <c r="P1553" s="648"/>
      <c r="R1553" s="626"/>
      <c r="T1553" s="633"/>
      <c r="U1553" s="634"/>
    </row>
    <row r="1554" spans="2:21" ht="19.149999999999999" customHeight="1">
      <c r="B1554" s="754" t="s">
        <v>823</v>
      </c>
      <c r="C1554" s="654">
        <v>84</v>
      </c>
      <c r="D1554" s="607">
        <v>430</v>
      </c>
      <c r="E1554" s="608">
        <v>848201</v>
      </c>
      <c r="F1554" s="609" t="s">
        <v>192</v>
      </c>
      <c r="G1554" s="610"/>
      <c r="H1554" s="610"/>
      <c r="I1554" s="611" t="s">
        <v>175</v>
      </c>
      <c r="J1554" s="616">
        <v>65</v>
      </c>
      <c r="K1554" s="613">
        <v>41</v>
      </c>
      <c r="L1554" s="616">
        <v>41</v>
      </c>
      <c r="M1554" s="616">
        <v>41</v>
      </c>
      <c r="N1554" s="614">
        <v>47.858719999999998</v>
      </c>
      <c r="O1554" s="648"/>
      <c r="P1554" s="648"/>
      <c r="R1554" s="626"/>
      <c r="T1554" s="633"/>
      <c r="U1554" s="634"/>
    </row>
    <row r="1555" spans="2:21" ht="19.149999999999999" customHeight="1">
      <c r="B1555" s="754" t="s">
        <v>823</v>
      </c>
      <c r="C1555" s="654">
        <v>10</v>
      </c>
      <c r="D1555" s="607">
        <v>540</v>
      </c>
      <c r="E1555" s="608">
        <v>848201</v>
      </c>
      <c r="F1555" s="609" t="s">
        <v>1650</v>
      </c>
      <c r="G1555" s="610"/>
      <c r="H1555" s="610"/>
      <c r="I1555" s="611" t="s">
        <v>175</v>
      </c>
      <c r="J1555" s="616">
        <v>12</v>
      </c>
      <c r="K1555" s="613">
        <v>11</v>
      </c>
      <c r="L1555" s="616">
        <v>11</v>
      </c>
      <c r="M1555" s="616">
        <v>7</v>
      </c>
      <c r="N1555" s="614">
        <v>5.8338799999999997</v>
      </c>
      <c r="O1555" s="648"/>
      <c r="P1555" s="648"/>
      <c r="R1555" s="626"/>
      <c r="T1555" s="633"/>
      <c r="U1555" s="634"/>
    </row>
    <row r="1556" spans="2:21" ht="19.149999999999999" customHeight="1">
      <c r="B1556" s="754" t="s">
        <v>823</v>
      </c>
      <c r="C1556" s="654">
        <v>84</v>
      </c>
      <c r="D1556" s="607">
        <v>755</v>
      </c>
      <c r="E1556" s="608">
        <v>848201</v>
      </c>
      <c r="F1556" s="609" t="s">
        <v>1923</v>
      </c>
      <c r="G1556" s="610"/>
      <c r="H1556" s="610"/>
      <c r="I1556" s="611" t="s">
        <v>44</v>
      </c>
      <c r="J1556" s="616">
        <v>0</v>
      </c>
      <c r="K1556" s="613">
        <v>90</v>
      </c>
      <c r="L1556" s="616">
        <v>90</v>
      </c>
      <c r="M1556" s="616">
        <v>90</v>
      </c>
      <c r="N1556" s="614">
        <v>16.445</v>
      </c>
      <c r="O1556" s="648"/>
      <c r="P1556" s="648"/>
      <c r="R1556" s="626"/>
      <c r="T1556" s="633"/>
      <c r="U1556" s="634"/>
    </row>
    <row r="1557" spans="2:21" ht="19.149999999999999" customHeight="1">
      <c r="B1557" s="754" t="s">
        <v>823</v>
      </c>
      <c r="C1557" s="654">
        <v>84</v>
      </c>
      <c r="D1557" s="607">
        <v>780</v>
      </c>
      <c r="E1557" s="608">
        <v>848201</v>
      </c>
      <c r="F1557" s="609" t="s">
        <v>1493</v>
      </c>
      <c r="G1557" s="610"/>
      <c r="H1557" s="610"/>
      <c r="I1557" s="611" t="s">
        <v>44</v>
      </c>
      <c r="J1557" s="616">
        <f>10</f>
        <v>10</v>
      </c>
      <c r="K1557" s="613">
        <v>10</v>
      </c>
      <c r="L1557" s="616">
        <v>10</v>
      </c>
      <c r="M1557" s="616">
        <v>10</v>
      </c>
      <c r="N1557" s="614">
        <v>2.2272399999999997</v>
      </c>
      <c r="O1557" s="648"/>
      <c r="P1557" s="648"/>
      <c r="R1557" s="626"/>
      <c r="T1557" s="633"/>
      <c r="U1557" s="634"/>
    </row>
    <row r="1558" spans="2:21" ht="19.149999999999999" customHeight="1">
      <c r="B1558" s="754" t="s">
        <v>823</v>
      </c>
      <c r="C1558" s="654">
        <v>84</v>
      </c>
      <c r="D1558" s="607">
        <v>781</v>
      </c>
      <c r="E1558" s="608">
        <v>848201</v>
      </c>
      <c r="F1558" s="609" t="s">
        <v>1494</v>
      </c>
      <c r="G1558" s="610"/>
      <c r="H1558" s="610"/>
      <c r="I1558" s="611" t="s">
        <v>44</v>
      </c>
      <c r="J1558" s="616">
        <v>59</v>
      </c>
      <c r="K1558" s="613">
        <v>30</v>
      </c>
      <c r="L1558" s="616">
        <v>59</v>
      </c>
      <c r="M1558" s="616">
        <v>59</v>
      </c>
      <c r="N1558" s="614">
        <v>57.218400000000003</v>
      </c>
      <c r="O1558" s="648"/>
      <c r="P1558" s="648"/>
      <c r="R1558" s="626"/>
      <c r="T1558" s="633"/>
      <c r="U1558" s="634"/>
    </row>
    <row r="1559" spans="2:21" ht="19.149999999999999" customHeight="1">
      <c r="B1559" s="754" t="s">
        <v>823</v>
      </c>
      <c r="C1559" s="655">
        <v>84</v>
      </c>
      <c r="D1559" s="615">
        <v>782</v>
      </c>
      <c r="E1559" s="608">
        <v>848201</v>
      </c>
      <c r="F1559" s="609" t="s">
        <v>1495</v>
      </c>
      <c r="G1559" s="610"/>
      <c r="H1559" s="610"/>
      <c r="I1559" s="611" t="s">
        <v>44</v>
      </c>
      <c r="J1559" s="616">
        <f>197-20</f>
        <v>177</v>
      </c>
      <c r="K1559" s="613">
        <v>100</v>
      </c>
      <c r="L1559" s="616">
        <v>192</v>
      </c>
      <c r="M1559" s="616">
        <v>207</v>
      </c>
      <c r="N1559" s="614">
        <v>55.767199999999995</v>
      </c>
      <c r="O1559" s="648"/>
      <c r="P1559" s="648"/>
      <c r="R1559" s="626"/>
      <c r="T1559" s="633"/>
      <c r="U1559" s="634"/>
    </row>
    <row r="1560" spans="2:21" ht="19.149999999999999" customHeight="1">
      <c r="B1560" s="754" t="s">
        <v>823</v>
      </c>
      <c r="C1560" s="654">
        <v>84</v>
      </c>
      <c r="D1560" s="607">
        <v>840</v>
      </c>
      <c r="E1560" s="608">
        <v>848201</v>
      </c>
      <c r="F1560" s="609" t="s">
        <v>764</v>
      </c>
      <c r="G1560" s="610"/>
      <c r="H1560" s="610"/>
      <c r="I1560" s="611" t="s">
        <v>175</v>
      </c>
      <c r="J1560" s="616">
        <v>40</v>
      </c>
      <c r="K1560" s="613">
        <v>31</v>
      </c>
      <c r="L1560" s="616">
        <v>31</v>
      </c>
      <c r="M1560" s="616">
        <v>31</v>
      </c>
      <c r="N1560" s="614">
        <v>47.4895</v>
      </c>
      <c r="O1560" s="648"/>
      <c r="P1560" s="648"/>
      <c r="R1560" s="626"/>
      <c r="T1560" s="633"/>
      <c r="U1560" s="634"/>
    </row>
    <row r="1561" spans="2:21" ht="19.149999999999999" customHeight="1">
      <c r="B1561" s="754" t="s">
        <v>823</v>
      </c>
      <c r="C1561" s="654">
        <v>84</v>
      </c>
      <c r="D1561" s="607">
        <v>841</v>
      </c>
      <c r="E1561" s="608">
        <v>848201</v>
      </c>
      <c r="F1561" s="609" t="s">
        <v>1575</v>
      </c>
      <c r="G1561" s="610"/>
      <c r="H1561" s="610"/>
      <c r="I1561" s="611" t="s">
        <v>44</v>
      </c>
      <c r="J1561" s="616">
        <f>98-10</f>
        <v>88</v>
      </c>
      <c r="K1561" s="613">
        <v>103</v>
      </c>
      <c r="L1561" s="616">
        <v>103</v>
      </c>
      <c r="M1561" s="616">
        <v>103</v>
      </c>
      <c r="N1561" s="614">
        <v>67.913730000000001</v>
      </c>
      <c r="O1561" s="648"/>
      <c r="P1561" s="648"/>
      <c r="R1561" s="626"/>
      <c r="T1561" s="633"/>
      <c r="U1561" s="634"/>
    </row>
    <row r="1562" spans="2:21" ht="19.149999999999999" customHeight="1">
      <c r="B1562" s="754" t="s">
        <v>823</v>
      </c>
      <c r="C1562" s="654">
        <v>84</v>
      </c>
      <c r="D1562" s="607">
        <v>840</v>
      </c>
      <c r="E1562" s="608">
        <v>848202</v>
      </c>
      <c r="F1562" s="609" t="s">
        <v>1849</v>
      </c>
      <c r="G1562" s="610"/>
      <c r="H1562" s="610"/>
      <c r="I1562" s="611" t="s">
        <v>175</v>
      </c>
      <c r="J1562" s="616">
        <v>30</v>
      </c>
      <c r="K1562" s="613">
        <v>15</v>
      </c>
      <c r="L1562" s="616">
        <v>32</v>
      </c>
      <c r="M1562" s="616">
        <v>32</v>
      </c>
      <c r="N1562" s="614">
        <v>24.739000000000001</v>
      </c>
      <c r="O1562" s="648"/>
      <c r="P1562" s="648"/>
      <c r="R1562" s="626"/>
      <c r="T1562" s="633"/>
      <c r="U1562" s="634"/>
    </row>
    <row r="1563" spans="2:21" ht="19.149999999999999" customHeight="1">
      <c r="B1563" s="754" t="s">
        <v>823</v>
      </c>
      <c r="C1563" s="654">
        <v>10</v>
      </c>
      <c r="D1563" s="607">
        <v>540</v>
      </c>
      <c r="E1563" s="608">
        <v>848301</v>
      </c>
      <c r="F1563" s="609" t="s">
        <v>1648</v>
      </c>
      <c r="G1563" s="610"/>
      <c r="H1563" s="610"/>
      <c r="I1563" s="611" t="s">
        <v>175</v>
      </c>
      <c r="J1563" s="616">
        <v>16</v>
      </c>
      <c r="K1563" s="613">
        <v>16</v>
      </c>
      <c r="L1563" s="616">
        <v>16</v>
      </c>
      <c r="M1563" s="616">
        <v>13</v>
      </c>
      <c r="N1563" s="614">
        <v>14.90475</v>
      </c>
      <c r="O1563" s="648"/>
      <c r="P1563" s="648"/>
      <c r="R1563" s="626"/>
      <c r="T1563" s="633"/>
      <c r="U1563" s="634"/>
    </row>
    <row r="1564" spans="2:21" ht="19.149999999999999" customHeight="1">
      <c r="B1564" s="754" t="s">
        <v>823</v>
      </c>
      <c r="C1564" s="654">
        <v>12</v>
      </c>
      <c r="D1564" s="607">
        <v>550</v>
      </c>
      <c r="E1564" s="608">
        <v>848301</v>
      </c>
      <c r="F1564" s="609" t="s">
        <v>607</v>
      </c>
      <c r="G1564" s="610"/>
      <c r="H1564" s="610"/>
      <c r="I1564" s="611" t="s">
        <v>44</v>
      </c>
      <c r="J1564" s="616">
        <v>29</v>
      </c>
      <c r="K1564" s="613">
        <v>29</v>
      </c>
      <c r="L1564" s="616">
        <v>7</v>
      </c>
      <c r="M1564" s="616">
        <v>7</v>
      </c>
      <c r="N1564" s="614">
        <v>5.2871699999999997</v>
      </c>
      <c r="O1564" s="648"/>
      <c r="P1564" s="648"/>
      <c r="R1564" s="626"/>
      <c r="T1564" s="633"/>
      <c r="U1564" s="634"/>
    </row>
    <row r="1565" spans="2:21" ht="19.149999999999999" customHeight="1">
      <c r="B1565" s="754" t="s">
        <v>823</v>
      </c>
      <c r="C1565" s="654">
        <v>5</v>
      </c>
      <c r="D1565" s="607">
        <v>750</v>
      </c>
      <c r="E1565" s="608">
        <v>848301</v>
      </c>
      <c r="F1565" s="609" t="s">
        <v>720</v>
      </c>
      <c r="G1565" s="610"/>
      <c r="H1565" s="610"/>
      <c r="I1565" s="611" t="s">
        <v>175</v>
      </c>
      <c r="J1565" s="616">
        <v>30</v>
      </c>
      <c r="K1565" s="613">
        <v>30</v>
      </c>
      <c r="L1565" s="616">
        <v>30</v>
      </c>
      <c r="M1565" s="616">
        <v>30</v>
      </c>
      <c r="N1565" s="614">
        <v>28.450970000000002</v>
      </c>
      <c r="O1565" s="648"/>
      <c r="P1565" s="648"/>
      <c r="R1565" s="626"/>
      <c r="T1565" s="633"/>
      <c r="U1565" s="634"/>
    </row>
    <row r="1566" spans="2:21" ht="19.149999999999999" customHeight="1">
      <c r="B1566" s="754" t="s">
        <v>823</v>
      </c>
      <c r="C1566" s="654">
        <v>84</v>
      </c>
      <c r="D1566" s="607">
        <v>780</v>
      </c>
      <c r="E1566" s="608">
        <v>848301</v>
      </c>
      <c r="F1566" s="609" t="s">
        <v>1497</v>
      </c>
      <c r="G1566" s="610"/>
      <c r="H1566" s="610"/>
      <c r="I1566" s="611" t="s">
        <v>44</v>
      </c>
      <c r="J1566" s="616">
        <v>1250</v>
      </c>
      <c r="K1566" s="613">
        <v>1250</v>
      </c>
      <c r="L1566" s="616">
        <v>1250</v>
      </c>
      <c r="M1566" s="616">
        <v>950</v>
      </c>
      <c r="N1566" s="614">
        <v>685.99990000000003</v>
      </c>
      <c r="O1566" s="648"/>
      <c r="P1566" s="648"/>
      <c r="R1566" s="626"/>
      <c r="T1566" s="633"/>
      <c r="U1566" s="634"/>
    </row>
    <row r="1567" spans="2:21" ht="19.149999999999999" customHeight="1">
      <c r="B1567" s="754" t="s">
        <v>823</v>
      </c>
      <c r="C1567" s="654">
        <v>84</v>
      </c>
      <c r="D1567" s="607">
        <v>840</v>
      </c>
      <c r="E1567" s="608">
        <v>848301</v>
      </c>
      <c r="F1567" s="609" t="s">
        <v>1498</v>
      </c>
      <c r="G1567" s="610"/>
      <c r="H1567" s="610"/>
      <c r="I1567" s="611" t="s">
        <v>175</v>
      </c>
      <c r="J1567" s="616">
        <v>70</v>
      </c>
      <c r="K1567" s="613">
        <v>60</v>
      </c>
      <c r="L1567" s="616">
        <v>75</v>
      </c>
      <c r="M1567" s="616">
        <v>75</v>
      </c>
      <c r="N1567" s="614">
        <v>46.152000000000001</v>
      </c>
      <c r="O1567" s="648"/>
      <c r="P1567" s="648"/>
      <c r="R1567" s="626"/>
      <c r="T1567" s="633"/>
      <c r="U1567" s="634"/>
    </row>
    <row r="1568" spans="2:21" ht="19.149999999999999" customHeight="1">
      <c r="B1568" s="754" t="s">
        <v>823</v>
      </c>
      <c r="C1568" s="654">
        <v>84</v>
      </c>
      <c r="D1568" s="607">
        <v>100</v>
      </c>
      <c r="E1568" s="608">
        <v>848302</v>
      </c>
      <c r="F1568" s="609" t="s">
        <v>1499</v>
      </c>
      <c r="G1568" s="610">
        <v>0.74</v>
      </c>
      <c r="H1568" s="610">
        <v>0.74</v>
      </c>
      <c r="I1568" s="611" t="s">
        <v>669</v>
      </c>
      <c r="J1568" s="616">
        <v>105</v>
      </c>
      <c r="K1568" s="613">
        <v>103</v>
      </c>
      <c r="L1568" s="616">
        <v>95</v>
      </c>
      <c r="M1568" s="616">
        <v>95</v>
      </c>
      <c r="N1568" s="614">
        <v>94.128779999999992</v>
      </c>
      <c r="O1568" s="648"/>
      <c r="P1568" s="648"/>
      <c r="R1568" s="626"/>
      <c r="T1568" s="633"/>
      <c r="U1568" s="634"/>
    </row>
    <row r="1569" spans="2:21" ht="19.149999999999999" customHeight="1">
      <c r="B1569" s="754" t="s">
        <v>823</v>
      </c>
      <c r="C1569" s="654">
        <v>2</v>
      </c>
      <c r="D1569" s="607">
        <v>410</v>
      </c>
      <c r="E1569" s="608">
        <v>848302</v>
      </c>
      <c r="F1569" s="609" t="s">
        <v>1532</v>
      </c>
      <c r="G1569" s="610"/>
      <c r="H1569" s="610"/>
      <c r="I1569" s="611" t="s">
        <v>175</v>
      </c>
      <c r="J1569" s="616">
        <v>90</v>
      </c>
      <c r="K1569" s="613">
        <v>118</v>
      </c>
      <c r="L1569" s="616">
        <v>118</v>
      </c>
      <c r="M1569" s="616">
        <v>62</v>
      </c>
      <c r="N1569" s="614">
        <v>59.143999999999998</v>
      </c>
      <c r="O1569" s="648"/>
      <c r="P1569" s="648"/>
      <c r="R1569" s="626"/>
      <c r="T1569" s="633"/>
      <c r="U1569" s="634"/>
    </row>
    <row r="1570" spans="2:21" ht="19.149999999999999" customHeight="1">
      <c r="B1570" s="754" t="s">
        <v>823</v>
      </c>
      <c r="C1570" s="654">
        <v>2</v>
      </c>
      <c r="D1570" s="607">
        <v>420</v>
      </c>
      <c r="E1570" s="608">
        <v>848302</v>
      </c>
      <c r="F1570" s="609" t="s">
        <v>1500</v>
      </c>
      <c r="G1570" s="610"/>
      <c r="H1570" s="610"/>
      <c r="I1570" s="611" t="s">
        <v>175</v>
      </c>
      <c r="J1570" s="616">
        <v>0</v>
      </c>
      <c r="K1570" s="613">
        <v>9</v>
      </c>
      <c r="L1570" s="616">
        <v>9</v>
      </c>
      <c r="M1570" s="616">
        <v>16</v>
      </c>
      <c r="N1570" s="614">
        <v>13.899319999999999</v>
      </c>
      <c r="O1570" s="648"/>
      <c r="P1570" s="648"/>
      <c r="R1570" s="626"/>
      <c r="T1570" s="633"/>
      <c r="U1570" s="634"/>
    </row>
    <row r="1571" spans="2:21" ht="19.149999999999999" customHeight="1">
      <c r="B1571" s="754" t="s">
        <v>823</v>
      </c>
      <c r="C1571" s="654">
        <v>10</v>
      </c>
      <c r="D1571" s="607">
        <v>540</v>
      </c>
      <c r="E1571" s="608">
        <v>848302</v>
      </c>
      <c r="F1571" s="609" t="s">
        <v>1651</v>
      </c>
      <c r="G1571" s="610"/>
      <c r="H1571" s="610"/>
      <c r="I1571" s="611" t="s">
        <v>175</v>
      </c>
      <c r="J1571" s="616">
        <v>7</v>
      </c>
      <c r="K1571" s="613">
        <v>7</v>
      </c>
      <c r="L1571" s="616">
        <v>7</v>
      </c>
      <c r="M1571" s="616">
        <v>7</v>
      </c>
      <c r="N1571" s="614">
        <v>6.1367700000000003</v>
      </c>
      <c r="O1571" s="648"/>
      <c r="P1571" s="648"/>
      <c r="R1571" s="626"/>
      <c r="T1571" s="633"/>
      <c r="U1571" s="634"/>
    </row>
    <row r="1572" spans="2:21" ht="19.149999999999999" customHeight="1">
      <c r="B1572" s="754" t="s">
        <v>823</v>
      </c>
      <c r="C1572" s="654">
        <v>12</v>
      </c>
      <c r="D1572" s="607">
        <v>550</v>
      </c>
      <c r="E1572" s="608">
        <v>848302</v>
      </c>
      <c r="F1572" s="609" t="s">
        <v>607</v>
      </c>
      <c r="G1572" s="610"/>
      <c r="H1572" s="610"/>
      <c r="I1572" s="611" t="s">
        <v>44</v>
      </c>
      <c r="J1572" s="616">
        <v>7</v>
      </c>
      <c r="K1572" s="613">
        <v>6</v>
      </c>
      <c r="L1572" s="616">
        <v>4</v>
      </c>
      <c r="M1572" s="616">
        <v>4</v>
      </c>
      <c r="N1572" s="614">
        <v>2.9950000000000001</v>
      </c>
      <c r="O1572" s="648"/>
      <c r="P1572" s="648"/>
      <c r="R1572" s="626"/>
      <c r="T1572" s="633"/>
      <c r="U1572" s="634"/>
    </row>
    <row r="1573" spans="2:21" ht="19.149999999999999" customHeight="1">
      <c r="B1573" s="754" t="s">
        <v>823</v>
      </c>
      <c r="C1573" s="654">
        <v>5</v>
      </c>
      <c r="D1573" s="607">
        <v>750</v>
      </c>
      <c r="E1573" s="608">
        <v>848302</v>
      </c>
      <c r="F1573" s="609" t="s">
        <v>720</v>
      </c>
      <c r="G1573" s="610"/>
      <c r="H1573" s="610"/>
      <c r="I1573" s="611" t="s">
        <v>175</v>
      </c>
      <c r="J1573" s="616">
        <v>30</v>
      </c>
      <c r="K1573" s="613">
        <v>30</v>
      </c>
      <c r="L1573" s="616">
        <v>30</v>
      </c>
      <c r="M1573" s="616">
        <v>30</v>
      </c>
      <c r="N1573" s="614">
        <v>28.463819999999998</v>
      </c>
      <c r="O1573" s="648"/>
      <c r="P1573" s="648"/>
      <c r="R1573" s="626"/>
      <c r="T1573" s="633"/>
      <c r="U1573" s="634"/>
    </row>
    <row r="1574" spans="2:21" ht="19.149999999999999" customHeight="1">
      <c r="B1574" s="754" t="s">
        <v>823</v>
      </c>
      <c r="C1574" s="654">
        <v>84</v>
      </c>
      <c r="D1574" s="607">
        <v>840</v>
      </c>
      <c r="E1574" s="608">
        <v>848302</v>
      </c>
      <c r="F1574" s="609" t="s">
        <v>1501</v>
      </c>
      <c r="G1574" s="610"/>
      <c r="H1574" s="610"/>
      <c r="I1574" s="611" t="s">
        <v>175</v>
      </c>
      <c r="J1574" s="616">
        <v>10</v>
      </c>
      <c r="K1574" s="613">
        <v>10</v>
      </c>
      <c r="L1574" s="616">
        <v>10</v>
      </c>
      <c r="M1574" s="616">
        <v>10</v>
      </c>
      <c r="N1574" s="614">
        <v>9.9993999999999996</v>
      </c>
      <c r="O1574" s="648"/>
      <c r="P1574" s="648"/>
      <c r="R1574" s="626"/>
      <c r="T1574" s="633"/>
      <c r="U1574" s="634"/>
    </row>
    <row r="1575" spans="2:21" ht="18.75" customHeight="1">
      <c r="B1575" s="754" t="s">
        <v>823</v>
      </c>
      <c r="C1575" s="654">
        <v>84</v>
      </c>
      <c r="D1575" s="607">
        <v>841</v>
      </c>
      <c r="E1575" s="608">
        <v>848302</v>
      </c>
      <c r="F1575" s="609" t="s">
        <v>1576</v>
      </c>
      <c r="G1575" s="610"/>
      <c r="H1575" s="610"/>
      <c r="I1575" s="611" t="s">
        <v>44</v>
      </c>
      <c r="J1575" s="616">
        <f>18</f>
        <v>18</v>
      </c>
      <c r="K1575" s="613">
        <v>19</v>
      </c>
      <c r="L1575" s="616">
        <v>19</v>
      </c>
      <c r="M1575" s="616">
        <v>19</v>
      </c>
      <c r="N1575" s="614">
        <v>18.307459999999999</v>
      </c>
      <c r="O1575" s="648"/>
      <c r="P1575" s="648"/>
      <c r="R1575" s="626"/>
      <c r="T1575" s="633"/>
      <c r="U1575" s="634"/>
    </row>
    <row r="1576" spans="2:21" ht="19.149999999999999" customHeight="1">
      <c r="B1576" s="606" t="s">
        <v>823</v>
      </c>
      <c r="C1576" s="654">
        <v>84</v>
      </c>
      <c r="D1576" s="607">
        <v>840</v>
      </c>
      <c r="E1576" s="608">
        <v>848303</v>
      </c>
      <c r="F1576" s="609" t="s">
        <v>2237</v>
      </c>
      <c r="G1576" s="610"/>
      <c r="H1576" s="610"/>
      <c r="I1576" s="611" t="s">
        <v>175</v>
      </c>
      <c r="J1576" s="616">
        <v>30</v>
      </c>
      <c r="K1576" s="613">
        <v>15</v>
      </c>
      <c r="L1576" s="616">
        <v>30</v>
      </c>
      <c r="M1576" s="616">
        <v>30</v>
      </c>
      <c r="N1576" s="614">
        <v>0</v>
      </c>
      <c r="O1576" s="648"/>
      <c r="P1576" s="648"/>
      <c r="R1576" s="626"/>
      <c r="T1576" s="633"/>
      <c r="U1576" s="634"/>
    </row>
    <row r="1577" spans="2:21" ht="19.149999999999999" customHeight="1">
      <c r="B1577" s="747"/>
      <c r="C1577" s="656"/>
      <c r="D1577" s="618"/>
      <c r="E1577" s="619" t="s">
        <v>1491</v>
      </c>
      <c r="F1577" s="620" t="s">
        <v>832</v>
      </c>
      <c r="G1577" s="621">
        <f>SUM(G1550:G1576)</f>
        <v>8.65</v>
      </c>
      <c r="H1577" s="621">
        <f>SUM(H1550:H1576)</f>
        <v>7.5844500000000004</v>
      </c>
      <c r="I1577" s="622"/>
      <c r="J1577" s="623">
        <f>SUM(J1550:J1576)</f>
        <v>3688</v>
      </c>
      <c r="K1577" s="624">
        <f>SUM(K1550:K1576)</f>
        <v>3435</v>
      </c>
      <c r="L1577" s="623">
        <f>SUM(L1550:L1576)</f>
        <v>3661</v>
      </c>
      <c r="M1577" s="623">
        <f>SUM(M1550:M1576)</f>
        <v>3279</v>
      </c>
      <c r="N1577" s="625">
        <f>SUM(N1550:N1576)</f>
        <v>2455.3452699999993</v>
      </c>
      <c r="O1577" s="648"/>
      <c r="P1577" s="648"/>
      <c r="R1577" s="626"/>
      <c r="T1577" s="633"/>
      <c r="U1577" s="632"/>
    </row>
    <row r="1578" spans="2:21" ht="19.149999999999999" customHeight="1">
      <c r="B1578" s="704"/>
      <c r="C1578" s="684"/>
      <c r="D1578" s="705"/>
      <c r="E1578" s="695" t="s">
        <v>1755</v>
      </c>
      <c r="F1578" s="751" t="s">
        <v>1756</v>
      </c>
      <c r="G1578" s="706"/>
      <c r="H1578" s="706"/>
      <c r="I1578" s="707"/>
      <c r="J1578" s="690"/>
      <c r="K1578" s="693"/>
      <c r="L1578" s="690"/>
      <c r="M1578" s="690"/>
      <c r="N1578" s="708"/>
      <c r="O1578" s="648"/>
      <c r="P1578" s="648"/>
      <c r="R1578" s="626"/>
      <c r="T1578" s="633"/>
      <c r="U1578" s="632"/>
    </row>
    <row r="1579" spans="2:21" ht="19.149999999999999" customHeight="1">
      <c r="B1579" s="754" t="s">
        <v>1756</v>
      </c>
      <c r="C1579" s="654">
        <v>1</v>
      </c>
      <c r="D1579" s="607">
        <v>100</v>
      </c>
      <c r="E1579" s="608">
        <v>848300</v>
      </c>
      <c r="F1579" s="609" t="s">
        <v>848</v>
      </c>
      <c r="G1579" s="610">
        <v>1.5</v>
      </c>
      <c r="H1579" s="610">
        <v>1.5</v>
      </c>
      <c r="I1579" s="611" t="s">
        <v>669</v>
      </c>
      <c r="J1579" s="616">
        <v>325</v>
      </c>
      <c r="K1579" s="613">
        <v>299</v>
      </c>
      <c r="L1579" s="616">
        <v>299</v>
      </c>
      <c r="M1579" s="616">
        <v>299</v>
      </c>
      <c r="N1579" s="614">
        <v>284.24482</v>
      </c>
      <c r="O1579" s="648"/>
      <c r="P1579" s="648"/>
      <c r="R1579" s="626"/>
      <c r="T1579" s="633"/>
      <c r="U1579" s="634"/>
    </row>
    <row r="1580" spans="2:21" ht="19.149999999999999" customHeight="1">
      <c r="B1580" s="754" t="s">
        <v>1756</v>
      </c>
      <c r="C1580" s="654">
        <v>12</v>
      </c>
      <c r="D1580" s="607">
        <v>550</v>
      </c>
      <c r="E1580" s="608">
        <v>848300</v>
      </c>
      <c r="F1580" s="609" t="s">
        <v>607</v>
      </c>
      <c r="G1580" s="610"/>
      <c r="H1580" s="610"/>
      <c r="I1580" s="611" t="s">
        <v>44</v>
      </c>
      <c r="J1580" s="616">
        <v>4</v>
      </c>
      <c r="K1580" s="613">
        <v>4</v>
      </c>
      <c r="L1580" s="616">
        <v>29</v>
      </c>
      <c r="M1580" s="616">
        <v>29</v>
      </c>
      <c r="N1580" s="614">
        <v>28.999500000000001</v>
      </c>
      <c r="O1580" s="648"/>
      <c r="P1580" s="648"/>
      <c r="R1580" s="626"/>
      <c r="T1580" s="633"/>
      <c r="U1580" s="634"/>
    </row>
    <row r="1581" spans="2:21" ht="19.149999999999999" customHeight="1">
      <c r="B1581" s="754" t="s">
        <v>1756</v>
      </c>
      <c r="C1581" s="655">
        <v>1</v>
      </c>
      <c r="D1581" s="615">
        <v>780</v>
      </c>
      <c r="E1581" s="608">
        <v>848300</v>
      </c>
      <c r="F1581" s="609" t="s">
        <v>880</v>
      </c>
      <c r="G1581" s="610"/>
      <c r="H1581" s="610"/>
      <c r="I1581" s="611" t="s">
        <v>44</v>
      </c>
      <c r="J1581" s="616">
        <v>119</v>
      </c>
      <c r="K1581" s="613">
        <v>119</v>
      </c>
      <c r="L1581" s="616">
        <v>119</v>
      </c>
      <c r="M1581" s="616">
        <v>125</v>
      </c>
      <c r="N1581" s="614">
        <v>140.19300000000001</v>
      </c>
      <c r="O1581" s="648"/>
      <c r="P1581" s="648"/>
      <c r="R1581" s="626"/>
      <c r="T1581" s="633"/>
      <c r="U1581" s="634"/>
    </row>
    <row r="1582" spans="2:21" ht="19.149999999999999" customHeight="1">
      <c r="B1582" s="747"/>
      <c r="C1582" s="656"/>
      <c r="D1582" s="618"/>
      <c r="E1582" s="619" t="s">
        <v>1755</v>
      </c>
      <c r="F1582" s="755" t="s">
        <v>1754</v>
      </c>
      <c r="G1582" s="621">
        <f>SUM(G1579:G1581)</f>
        <v>1.5</v>
      </c>
      <c r="H1582" s="621">
        <f>SUM(H1579:H1581)</f>
        <v>1.5</v>
      </c>
      <c r="I1582" s="622"/>
      <c r="J1582" s="623">
        <f>SUM(J1579:J1581)</f>
        <v>448</v>
      </c>
      <c r="K1582" s="624">
        <f>SUM(K1579:K1581)</f>
        <v>422</v>
      </c>
      <c r="L1582" s="623">
        <f>SUM(L1579:L1581)</f>
        <v>447</v>
      </c>
      <c r="M1582" s="623">
        <f>SUM(M1579:M1581)</f>
        <v>453</v>
      </c>
      <c r="N1582" s="625">
        <f>SUM(N1579:N1581)</f>
        <v>453.43732</v>
      </c>
      <c r="O1582" s="648"/>
      <c r="P1582" s="648"/>
      <c r="R1582" s="626"/>
      <c r="T1582" s="633"/>
      <c r="U1582" s="632"/>
    </row>
    <row r="1583" spans="2:21" ht="31.15" customHeight="1">
      <c r="B1583" s="704"/>
      <c r="C1583" s="684"/>
      <c r="D1583" s="705"/>
      <c r="E1583" s="695" t="s">
        <v>300</v>
      </c>
      <c r="F1583" s="751" t="s">
        <v>1389</v>
      </c>
      <c r="G1583" s="706"/>
      <c r="H1583" s="706"/>
      <c r="I1583" s="707"/>
      <c r="J1583" s="690"/>
      <c r="K1583" s="693"/>
      <c r="L1583" s="690"/>
      <c r="M1583" s="690"/>
      <c r="N1583" s="708"/>
      <c r="O1583" s="648"/>
      <c r="P1583" s="648"/>
      <c r="R1583" s="626"/>
      <c r="T1583" s="633"/>
      <c r="U1583" s="632"/>
    </row>
    <row r="1584" spans="2:21" ht="19.149999999999999" customHeight="1">
      <c r="B1584" s="754" t="s">
        <v>104</v>
      </c>
      <c r="C1584" s="654">
        <v>82</v>
      </c>
      <c r="D1584" s="607">
        <v>100</v>
      </c>
      <c r="E1584" s="608">
        <v>848290</v>
      </c>
      <c r="F1584" s="609" t="s">
        <v>848</v>
      </c>
      <c r="G1584" s="610">
        <v>1.0000000000000002</v>
      </c>
      <c r="H1584" s="610">
        <v>1.0000000000000002</v>
      </c>
      <c r="I1584" s="611" t="s">
        <v>669</v>
      </c>
      <c r="J1584" s="616">
        <v>211</v>
      </c>
      <c r="K1584" s="613">
        <v>206</v>
      </c>
      <c r="L1584" s="616">
        <v>200</v>
      </c>
      <c r="M1584" s="616">
        <v>200</v>
      </c>
      <c r="N1584" s="614">
        <v>214.30014000000003</v>
      </c>
      <c r="O1584" s="648"/>
      <c r="P1584" s="648"/>
      <c r="R1584" s="626"/>
      <c r="T1584" s="633"/>
      <c r="U1584" s="634"/>
    </row>
    <row r="1585" spans="2:26" ht="19.149999999999999" customHeight="1">
      <c r="B1585" s="754" t="s">
        <v>104</v>
      </c>
      <c r="C1585" s="654">
        <v>82</v>
      </c>
      <c r="D1585" s="607">
        <v>871</v>
      </c>
      <c r="E1585" s="608">
        <v>848290</v>
      </c>
      <c r="F1585" s="609" t="s">
        <v>1250</v>
      </c>
      <c r="G1585" s="610"/>
      <c r="H1585" s="610"/>
      <c r="I1585" s="611" t="s">
        <v>175</v>
      </c>
      <c r="J1585" s="616">
        <v>738</v>
      </c>
      <c r="K1585" s="613">
        <v>833</v>
      </c>
      <c r="L1585" s="616">
        <v>833</v>
      </c>
      <c r="M1585" s="616">
        <v>833</v>
      </c>
      <c r="N1585" s="614">
        <v>785</v>
      </c>
      <c r="O1585" s="648"/>
      <c r="P1585" s="648"/>
      <c r="R1585" s="626"/>
      <c r="T1585" s="633"/>
      <c r="U1585" s="634"/>
    </row>
    <row r="1586" spans="2:26" ht="19.149999999999999" customHeight="1">
      <c r="B1586" s="754" t="s">
        <v>104</v>
      </c>
      <c r="C1586" s="654">
        <v>82</v>
      </c>
      <c r="D1586" s="607">
        <v>872</v>
      </c>
      <c r="E1586" s="608">
        <v>848290</v>
      </c>
      <c r="F1586" s="609" t="s">
        <v>1349</v>
      </c>
      <c r="G1586" s="610"/>
      <c r="H1586" s="610"/>
      <c r="I1586" s="611" t="s">
        <v>175</v>
      </c>
      <c r="J1586" s="616">
        <v>273</v>
      </c>
      <c r="K1586" s="613">
        <v>273</v>
      </c>
      <c r="L1586" s="616">
        <v>273</v>
      </c>
      <c r="M1586" s="616">
        <v>273</v>
      </c>
      <c r="N1586" s="614">
        <v>273</v>
      </c>
      <c r="O1586" s="648"/>
      <c r="P1586" s="648"/>
      <c r="R1586" s="626"/>
      <c r="T1586" s="633"/>
      <c r="U1586" s="634"/>
    </row>
    <row r="1587" spans="2:26" ht="19.149999999999999" customHeight="1">
      <c r="B1587" s="747"/>
      <c r="C1587" s="656"/>
      <c r="D1587" s="618"/>
      <c r="E1587" s="619" t="s">
        <v>300</v>
      </c>
      <c r="F1587" s="755" t="s">
        <v>105</v>
      </c>
      <c r="G1587" s="621">
        <f>SUM(G1584:G1586)</f>
        <v>1.0000000000000002</v>
      </c>
      <c r="H1587" s="621">
        <f>SUM(H1584:H1586)</f>
        <v>1.0000000000000002</v>
      </c>
      <c r="I1587" s="622"/>
      <c r="J1587" s="623">
        <f>SUM(J1584:J1586)</f>
        <v>1222</v>
      </c>
      <c r="K1587" s="624">
        <f>SUM(K1584:K1586)</f>
        <v>1312</v>
      </c>
      <c r="L1587" s="623">
        <f>SUM(L1584:L1586)</f>
        <v>1306</v>
      </c>
      <c r="M1587" s="623">
        <f>SUM(M1584:M1586)</f>
        <v>1306</v>
      </c>
      <c r="N1587" s="625">
        <f>SUM(N1584:N1586)</f>
        <v>1272.3001400000001</v>
      </c>
      <c r="O1587" s="648"/>
      <c r="P1587" s="648"/>
      <c r="R1587" s="626"/>
      <c r="T1587" s="633"/>
      <c r="U1587" s="632"/>
    </row>
    <row r="1588" spans="2:26" ht="19.149999999999999" customHeight="1">
      <c r="B1588" s="704"/>
      <c r="C1588" s="684"/>
      <c r="D1588" s="705"/>
      <c r="E1588" s="695" t="s">
        <v>833</v>
      </c>
      <c r="F1588" s="687" t="s">
        <v>1155</v>
      </c>
      <c r="G1588" s="706"/>
      <c r="H1588" s="706"/>
      <c r="I1588" s="707"/>
      <c r="J1588" s="690"/>
      <c r="K1588" s="693"/>
      <c r="L1588" s="690"/>
      <c r="M1588" s="690"/>
      <c r="N1588" s="708"/>
      <c r="O1588" s="648"/>
      <c r="P1588" s="648"/>
      <c r="R1588" s="626"/>
      <c r="T1588" s="633"/>
      <c r="U1588" s="632"/>
    </row>
    <row r="1589" spans="2:26" ht="28">
      <c r="B1589" s="606" t="s">
        <v>1155</v>
      </c>
      <c r="C1589" s="654">
        <v>84</v>
      </c>
      <c r="D1589" s="607">
        <v>840</v>
      </c>
      <c r="E1589" s="608">
        <v>849001</v>
      </c>
      <c r="F1589" s="609" t="s">
        <v>2122</v>
      </c>
      <c r="G1589" s="610"/>
      <c r="H1589" s="610"/>
      <c r="I1589" s="611" t="s">
        <v>175</v>
      </c>
      <c r="J1589" s="616">
        <v>0</v>
      </c>
      <c r="K1589" s="613">
        <v>0</v>
      </c>
      <c r="L1589" s="616">
        <v>0</v>
      </c>
      <c r="M1589" s="616">
        <v>140</v>
      </c>
      <c r="N1589" s="614">
        <v>139.07</v>
      </c>
      <c r="O1589" s="648"/>
      <c r="P1589" s="648"/>
      <c r="R1589" s="626"/>
      <c r="T1589" s="633"/>
      <c r="U1589" s="634"/>
    </row>
    <row r="1590" spans="2:26" ht="28">
      <c r="B1590" s="606" t="s">
        <v>1155</v>
      </c>
      <c r="C1590" s="654">
        <v>84</v>
      </c>
      <c r="D1590" s="607">
        <v>840</v>
      </c>
      <c r="E1590" s="608">
        <v>849002</v>
      </c>
      <c r="F1590" s="609" t="s">
        <v>2123</v>
      </c>
      <c r="G1590" s="610"/>
      <c r="H1590" s="610"/>
      <c r="I1590" s="611" t="s">
        <v>175</v>
      </c>
      <c r="J1590" s="616">
        <v>0</v>
      </c>
      <c r="K1590" s="613">
        <v>0</v>
      </c>
      <c r="L1590" s="616">
        <v>0</v>
      </c>
      <c r="M1590" s="616">
        <v>57</v>
      </c>
      <c r="N1590" s="614">
        <v>57.808999999999997</v>
      </c>
      <c r="O1590" s="648"/>
      <c r="P1590" s="648"/>
      <c r="R1590" s="626"/>
      <c r="T1590" s="633"/>
      <c r="U1590" s="634"/>
    </row>
    <row r="1591" spans="2:26" ht="28">
      <c r="B1591" s="606" t="s">
        <v>1155</v>
      </c>
      <c r="C1591" s="654">
        <v>84</v>
      </c>
      <c r="D1591" s="607">
        <v>840</v>
      </c>
      <c r="E1591" s="608">
        <v>849003</v>
      </c>
      <c r="F1591" s="609" t="s">
        <v>2124</v>
      </c>
      <c r="G1591" s="610"/>
      <c r="H1591" s="610"/>
      <c r="I1591" s="611" t="s">
        <v>175</v>
      </c>
      <c r="J1591" s="616">
        <v>0</v>
      </c>
      <c r="K1591" s="613">
        <v>0</v>
      </c>
      <c r="L1591" s="616">
        <v>0</v>
      </c>
      <c r="M1591" s="616">
        <v>145</v>
      </c>
      <c r="N1591" s="614">
        <v>216.49</v>
      </c>
      <c r="O1591" s="648"/>
      <c r="P1591" s="648"/>
      <c r="R1591" s="626"/>
      <c r="T1591" s="633"/>
      <c r="U1591" s="634"/>
    </row>
    <row r="1592" spans="2:26" ht="19.149999999999999" customHeight="1">
      <c r="B1592" s="606" t="s">
        <v>1155</v>
      </c>
      <c r="C1592" s="654">
        <v>84</v>
      </c>
      <c r="D1592" s="607">
        <v>840</v>
      </c>
      <c r="E1592" s="608">
        <v>849004</v>
      </c>
      <c r="F1592" s="609" t="s">
        <v>1772</v>
      </c>
      <c r="G1592" s="610"/>
      <c r="H1592" s="610"/>
      <c r="I1592" s="611" t="s">
        <v>175</v>
      </c>
      <c r="J1592" s="616">
        <v>15</v>
      </c>
      <c r="K1592" s="613">
        <v>7</v>
      </c>
      <c r="L1592" s="616">
        <v>5</v>
      </c>
      <c r="M1592" s="616">
        <v>5</v>
      </c>
      <c r="N1592" s="614">
        <v>1.5149999999999999</v>
      </c>
      <c r="O1592" s="648"/>
      <c r="P1592" s="648"/>
      <c r="R1592" s="626"/>
      <c r="T1592" s="633"/>
      <c r="U1592" s="634"/>
    </row>
    <row r="1593" spans="2:26" ht="19.149999999999999" customHeight="1">
      <c r="B1593" s="606" t="s">
        <v>1155</v>
      </c>
      <c r="C1593" s="654">
        <v>84</v>
      </c>
      <c r="D1593" s="607">
        <v>840</v>
      </c>
      <c r="E1593" s="608">
        <v>849006</v>
      </c>
      <c r="F1593" s="609" t="s">
        <v>1503</v>
      </c>
      <c r="G1593" s="610"/>
      <c r="H1593" s="610"/>
      <c r="I1593" s="611" t="s">
        <v>175</v>
      </c>
      <c r="J1593" s="616">
        <v>300</v>
      </c>
      <c r="K1593" s="613">
        <v>274</v>
      </c>
      <c r="L1593" s="616">
        <v>280</v>
      </c>
      <c r="M1593" s="616">
        <v>410</v>
      </c>
      <c r="N1593" s="614">
        <v>363.13099999999997</v>
      </c>
      <c r="O1593" s="648"/>
      <c r="P1593" s="648"/>
      <c r="R1593" s="626"/>
      <c r="T1593" s="633"/>
      <c r="U1593" s="634"/>
    </row>
    <row r="1594" spans="2:26" ht="19.149999999999999" customHeight="1">
      <c r="B1594" s="606" t="s">
        <v>1155</v>
      </c>
      <c r="C1594" s="654">
        <v>84</v>
      </c>
      <c r="D1594" s="607">
        <v>840</v>
      </c>
      <c r="E1594" s="608">
        <v>849009</v>
      </c>
      <c r="F1594" s="609" t="s">
        <v>1504</v>
      </c>
      <c r="G1594" s="610"/>
      <c r="H1594" s="610"/>
      <c r="I1594" s="611" t="s">
        <v>175</v>
      </c>
      <c r="J1594" s="616">
        <v>0</v>
      </c>
      <c r="K1594" s="613">
        <v>0</v>
      </c>
      <c r="L1594" s="616">
        <v>0</v>
      </c>
      <c r="M1594" s="616">
        <v>0</v>
      </c>
      <c r="N1594" s="614">
        <v>4.3600000000000003</v>
      </c>
      <c r="O1594" s="648"/>
      <c r="P1594" s="648"/>
      <c r="R1594" s="626"/>
      <c r="T1594" s="633"/>
      <c r="U1594" s="634"/>
    </row>
    <row r="1595" spans="2:26" ht="19.149999999999999" customHeight="1">
      <c r="B1595" s="617"/>
      <c r="C1595" s="656"/>
      <c r="D1595" s="618"/>
      <c r="E1595" s="619" t="s">
        <v>833</v>
      </c>
      <c r="F1595" s="620" t="s">
        <v>809</v>
      </c>
      <c r="G1595" s="621">
        <f>SUM(G1589:G1594)</f>
        <v>0</v>
      </c>
      <c r="H1595" s="621">
        <f>SUM(H1589:H1594)</f>
        <v>0</v>
      </c>
      <c r="I1595" s="622"/>
      <c r="J1595" s="623">
        <f>SUM(J1589:J1594)</f>
        <v>315</v>
      </c>
      <c r="K1595" s="624">
        <f>SUM(K1589:K1594)</f>
        <v>281</v>
      </c>
      <c r="L1595" s="623">
        <f>SUM(L1589:L1594)</f>
        <v>285</v>
      </c>
      <c r="M1595" s="623">
        <f>SUM(M1589:M1594)</f>
        <v>757</v>
      </c>
      <c r="N1595" s="625">
        <f>SUM(N1589:N1594)</f>
        <v>782.375</v>
      </c>
      <c r="O1595" s="648"/>
      <c r="P1595" s="648"/>
      <c r="R1595" s="626"/>
      <c r="T1595" s="633"/>
      <c r="U1595" s="632"/>
    </row>
    <row r="1596" spans="2:26" ht="19.149999999999999" customHeight="1">
      <c r="B1596" s="747"/>
      <c r="C1596" s="656"/>
      <c r="D1596" s="618"/>
      <c r="E1596" s="619" t="s">
        <v>1091</v>
      </c>
      <c r="F1596" s="620" t="s">
        <v>836</v>
      </c>
      <c r="G1596" s="621">
        <f>SUMIF($E$1353:$E$1595,"*.",G1353:G1595)</f>
        <v>161.99</v>
      </c>
      <c r="H1596" s="621">
        <f>SUMIF($E$1353:$E$1595,"*.",H1353:H1595)</f>
        <v>147.17653333333334</v>
      </c>
      <c r="I1596" s="622"/>
      <c r="J1596" s="623">
        <f>SUMIF($E$1353:$E$1595,"*.",J1353:J1595)</f>
        <v>121707</v>
      </c>
      <c r="K1596" s="624">
        <f>SUMIF($E$1353:$E$1595,"*.",K1353:K1595)</f>
        <v>114243</v>
      </c>
      <c r="L1596" s="623">
        <f>SUMIF($E$1353:$E$1595,"*.",L1353:L1595)</f>
        <v>116463</v>
      </c>
      <c r="M1596" s="623">
        <f>SUMIF($E$1353:$E$1595,"*.",M1353:M1595)</f>
        <v>114807</v>
      </c>
      <c r="N1596" s="625">
        <f>SUMIF($E$1353:$E$1595,"*.",N1353:N1595)</f>
        <v>108007.33359000001</v>
      </c>
      <c r="O1596" s="648"/>
      <c r="P1596" s="648"/>
      <c r="R1596" s="626"/>
      <c r="T1596" s="633"/>
      <c r="U1596" s="632"/>
    </row>
    <row r="1597" spans="2:26" ht="19.149999999999999" customHeight="1">
      <c r="B1597" s="704"/>
      <c r="C1597" s="684"/>
      <c r="D1597" s="705"/>
      <c r="E1597" s="695" t="s">
        <v>837</v>
      </c>
      <c r="F1597" s="687" t="s">
        <v>838</v>
      </c>
      <c r="G1597" s="706"/>
      <c r="H1597" s="706"/>
      <c r="I1597" s="707"/>
      <c r="J1597" s="690"/>
      <c r="K1597" s="693"/>
      <c r="L1597" s="690"/>
      <c r="M1597" s="690"/>
      <c r="N1597" s="708"/>
      <c r="O1597" s="648"/>
      <c r="P1597" s="648"/>
      <c r="R1597" s="626"/>
      <c r="T1597" s="633"/>
      <c r="U1597" s="632"/>
    </row>
    <row r="1598" spans="2:26" ht="19.149999999999999" customHeight="1">
      <c r="B1598" s="704"/>
      <c r="C1598" s="684"/>
      <c r="D1598" s="705"/>
      <c r="E1598" s="695" t="s">
        <v>839</v>
      </c>
      <c r="F1598" s="687" t="s">
        <v>824</v>
      </c>
      <c r="G1598" s="706"/>
      <c r="H1598" s="706"/>
      <c r="I1598" s="707"/>
      <c r="J1598" s="690"/>
      <c r="K1598" s="693"/>
      <c r="L1598" s="690"/>
      <c r="M1598" s="690"/>
      <c r="N1598" s="708"/>
      <c r="O1598" s="648"/>
      <c r="P1598" s="648"/>
      <c r="R1598" s="626"/>
      <c r="T1598" s="633"/>
      <c r="U1598" s="632"/>
    </row>
    <row r="1599" spans="2:26" ht="19.149999999999999" customHeight="1">
      <c r="B1599" s="831" t="s">
        <v>824</v>
      </c>
      <c r="C1599" s="654">
        <v>7</v>
      </c>
      <c r="D1599" s="607">
        <v>810</v>
      </c>
      <c r="E1599" s="608">
        <v>851000</v>
      </c>
      <c r="F1599" s="609" t="s">
        <v>936</v>
      </c>
      <c r="G1599" s="610"/>
      <c r="H1599" s="610"/>
      <c r="I1599" s="611" t="s">
        <v>175</v>
      </c>
      <c r="J1599" s="616">
        <v>5367</v>
      </c>
      <c r="K1599" s="613">
        <v>5367</v>
      </c>
      <c r="L1599" s="616">
        <v>5367</v>
      </c>
      <c r="M1599" s="616">
        <v>5367</v>
      </c>
      <c r="N1599" s="614">
        <v>5367</v>
      </c>
      <c r="O1599" s="648"/>
      <c r="P1599" s="648"/>
      <c r="R1599" s="626"/>
      <c r="T1599" s="633"/>
      <c r="U1599" s="634"/>
      <c r="Z1599" s="216"/>
    </row>
    <row r="1600" spans="2:26" ht="19.149999999999999" customHeight="1">
      <c r="B1600" s="617"/>
      <c r="C1600" s="656"/>
      <c r="D1600" s="618"/>
      <c r="E1600" s="619" t="s">
        <v>839</v>
      </c>
      <c r="F1600" s="620" t="s">
        <v>678</v>
      </c>
      <c r="G1600" s="621">
        <f>SUM(G1599)</f>
        <v>0</v>
      </c>
      <c r="H1600" s="621">
        <f>SUM(H1599)</f>
        <v>0</v>
      </c>
      <c r="I1600" s="622"/>
      <c r="J1600" s="623">
        <f>SUM(J1599)</f>
        <v>5367</v>
      </c>
      <c r="K1600" s="624">
        <f>SUM(K1599)</f>
        <v>5367</v>
      </c>
      <c r="L1600" s="623">
        <f>SUM(L1599)</f>
        <v>5367</v>
      </c>
      <c r="M1600" s="623">
        <f>SUM(M1599)</f>
        <v>5367</v>
      </c>
      <c r="N1600" s="625">
        <f>SUM(N1599)</f>
        <v>5367</v>
      </c>
      <c r="O1600" s="648"/>
      <c r="P1600" s="648"/>
      <c r="R1600" s="626"/>
      <c r="T1600" s="633"/>
      <c r="U1600" s="632"/>
    </row>
    <row r="1601" spans="2:26" ht="19.149999999999999" customHeight="1">
      <c r="B1601" s="704"/>
      <c r="C1601" s="684"/>
      <c r="D1601" s="705"/>
      <c r="E1601" s="695" t="s">
        <v>679</v>
      </c>
      <c r="F1601" s="687" t="s">
        <v>937</v>
      </c>
      <c r="G1601" s="706"/>
      <c r="H1601" s="706"/>
      <c r="I1601" s="707"/>
      <c r="J1601" s="690"/>
      <c r="K1601" s="693"/>
      <c r="L1601" s="690"/>
      <c r="M1601" s="690"/>
      <c r="N1601" s="708"/>
      <c r="O1601" s="648"/>
      <c r="P1601" s="648"/>
      <c r="R1601" s="626"/>
      <c r="T1601" s="633"/>
      <c r="U1601" s="632"/>
    </row>
    <row r="1602" spans="2:26" ht="19.149999999999999" customHeight="1">
      <c r="B1602" s="606" t="s">
        <v>937</v>
      </c>
      <c r="C1602" s="655">
        <v>7</v>
      </c>
      <c r="D1602" s="615">
        <v>820</v>
      </c>
      <c r="E1602" s="608">
        <v>856000</v>
      </c>
      <c r="F1602" s="609" t="s">
        <v>216</v>
      </c>
      <c r="G1602" s="610"/>
      <c r="H1602" s="610"/>
      <c r="I1602" s="611" t="s">
        <v>175</v>
      </c>
      <c r="J1602" s="616">
        <v>1148</v>
      </c>
      <c r="K1602" s="613">
        <v>1148</v>
      </c>
      <c r="L1602" s="616">
        <v>1148</v>
      </c>
      <c r="M1602" s="616">
        <v>1350</v>
      </c>
      <c r="N1602" s="614">
        <v>1349.999</v>
      </c>
      <c r="O1602" s="648"/>
      <c r="P1602" s="648"/>
      <c r="R1602" s="626"/>
      <c r="T1602" s="633"/>
      <c r="U1602" s="634"/>
      <c r="Z1602" s="216"/>
    </row>
    <row r="1603" spans="2:26" ht="19.149999999999999" customHeight="1">
      <c r="B1603" s="606" t="s">
        <v>937</v>
      </c>
      <c r="C1603" s="655">
        <v>7</v>
      </c>
      <c r="D1603" s="615">
        <v>821</v>
      </c>
      <c r="E1603" s="608">
        <v>856000</v>
      </c>
      <c r="F1603" s="609" t="s">
        <v>1822</v>
      </c>
      <c r="G1603" s="610"/>
      <c r="H1603" s="610"/>
      <c r="I1603" s="611" t="s">
        <v>175</v>
      </c>
      <c r="J1603" s="616">
        <v>60</v>
      </c>
      <c r="K1603" s="613">
        <v>60</v>
      </c>
      <c r="L1603" s="616">
        <v>60</v>
      </c>
      <c r="M1603" s="616">
        <v>70</v>
      </c>
      <c r="N1603" s="614">
        <v>62.326999999999998</v>
      </c>
      <c r="O1603" s="648"/>
      <c r="P1603" s="648"/>
      <c r="R1603" s="626"/>
      <c r="T1603" s="633"/>
      <c r="U1603" s="634"/>
      <c r="Z1603" s="216"/>
    </row>
    <row r="1604" spans="2:26" ht="19.149999999999999" customHeight="1">
      <c r="B1604" s="617"/>
      <c r="C1604" s="832"/>
      <c r="D1604" s="618"/>
      <c r="E1604" s="619" t="s">
        <v>679</v>
      </c>
      <c r="F1604" s="833" t="s">
        <v>1713</v>
      </c>
      <c r="G1604" s="621">
        <f>SUM(G1602:G1602)</f>
        <v>0</v>
      </c>
      <c r="H1604" s="621">
        <f>SUM(H1602:H1602)</f>
        <v>0</v>
      </c>
      <c r="I1604" s="622"/>
      <c r="J1604" s="623">
        <f>SUM(J1602:J1603)</f>
        <v>1208</v>
      </c>
      <c r="K1604" s="624">
        <f>SUM(K1602:K1603)</f>
        <v>1208</v>
      </c>
      <c r="L1604" s="623">
        <f>SUM(L1602:L1603)</f>
        <v>1208</v>
      </c>
      <c r="M1604" s="623">
        <f>SUM(M1602:M1603)</f>
        <v>1420</v>
      </c>
      <c r="N1604" s="625">
        <f>SUM(N1602:N1603)</f>
        <v>1412.326</v>
      </c>
      <c r="O1604" s="648"/>
      <c r="P1604" s="648"/>
      <c r="R1604" s="626"/>
      <c r="T1604" s="633"/>
      <c r="U1604" s="632"/>
    </row>
    <row r="1605" spans="2:26" ht="19.149999999999999" customHeight="1">
      <c r="B1605" s="704"/>
      <c r="C1605" s="684"/>
      <c r="D1605" s="705"/>
      <c r="E1605" s="695" t="s">
        <v>1584</v>
      </c>
      <c r="F1605" s="687" t="s">
        <v>1583</v>
      </c>
      <c r="G1605" s="706"/>
      <c r="H1605" s="706"/>
      <c r="I1605" s="707"/>
      <c r="J1605" s="690"/>
      <c r="K1605" s="693"/>
      <c r="L1605" s="690"/>
      <c r="M1605" s="690"/>
      <c r="N1605" s="708"/>
      <c r="O1605" s="648"/>
      <c r="P1605" s="648"/>
      <c r="R1605" s="626"/>
      <c r="T1605" s="633"/>
      <c r="U1605" s="632"/>
    </row>
    <row r="1606" spans="2:26" ht="19.149999999999999" customHeight="1">
      <c r="B1606" s="606" t="s">
        <v>1583</v>
      </c>
      <c r="C1606" s="654">
        <v>7</v>
      </c>
      <c r="D1606" s="607">
        <v>780</v>
      </c>
      <c r="E1606" s="608">
        <v>859000</v>
      </c>
      <c r="F1606" s="609" t="s">
        <v>1795</v>
      </c>
      <c r="G1606" s="610"/>
      <c r="H1606" s="610"/>
      <c r="I1606" s="611" t="s">
        <v>175</v>
      </c>
      <c r="J1606" s="616">
        <v>400</v>
      </c>
      <c r="K1606" s="613">
        <v>400</v>
      </c>
      <c r="L1606" s="616">
        <v>400</v>
      </c>
      <c r="M1606" s="616">
        <v>400</v>
      </c>
      <c r="N1606" s="614">
        <v>400</v>
      </c>
      <c r="O1606" s="648"/>
      <c r="P1606" s="648"/>
      <c r="R1606" s="626"/>
      <c r="T1606" s="633"/>
      <c r="U1606" s="634"/>
      <c r="Z1606" s="216"/>
    </row>
    <row r="1607" spans="2:26" ht="19.149999999999999" customHeight="1">
      <c r="B1607" s="606" t="s">
        <v>1583</v>
      </c>
      <c r="C1607" s="654">
        <v>7</v>
      </c>
      <c r="D1607" s="607">
        <v>782</v>
      </c>
      <c r="E1607" s="608">
        <v>859000</v>
      </c>
      <c r="F1607" s="609" t="s">
        <v>1593</v>
      </c>
      <c r="G1607" s="610"/>
      <c r="H1607" s="610"/>
      <c r="I1607" s="611" t="s">
        <v>44</v>
      </c>
      <c r="J1607" s="616">
        <v>400</v>
      </c>
      <c r="K1607" s="613">
        <v>300</v>
      </c>
      <c r="L1607" s="616">
        <v>300</v>
      </c>
      <c r="M1607" s="616">
        <v>300</v>
      </c>
      <c r="N1607" s="614">
        <v>300</v>
      </c>
      <c r="O1607" s="648"/>
      <c r="P1607" s="648"/>
      <c r="R1607" s="626"/>
      <c r="T1607" s="633"/>
      <c r="U1607" s="634"/>
      <c r="Z1607" s="216"/>
    </row>
    <row r="1608" spans="2:26" ht="19.149999999999999" customHeight="1">
      <c r="B1608" s="617"/>
      <c r="C1608" s="832"/>
      <c r="D1608" s="618"/>
      <c r="E1608" s="619" t="s">
        <v>1584</v>
      </c>
      <c r="F1608" s="833" t="s">
        <v>1884</v>
      </c>
      <c r="G1608" s="621"/>
      <c r="H1608" s="621"/>
      <c r="I1608" s="622"/>
      <c r="J1608" s="623">
        <f>SUM(J1605:J1607)</f>
        <v>800</v>
      </c>
      <c r="K1608" s="624">
        <f>SUM(K1605:K1607)</f>
        <v>700</v>
      </c>
      <c r="L1608" s="623">
        <f>SUM(L1605:L1607)</f>
        <v>700</v>
      </c>
      <c r="M1608" s="623">
        <f>SUM(M1605:M1607)</f>
        <v>700</v>
      </c>
      <c r="N1608" s="625">
        <f>SUM(N1605:N1607)</f>
        <v>700</v>
      </c>
      <c r="O1608" s="648"/>
      <c r="P1608" s="648"/>
      <c r="R1608" s="626"/>
      <c r="T1608" s="633"/>
      <c r="U1608" s="632"/>
    </row>
    <row r="1609" spans="2:26" ht="19.149999999999999" customHeight="1">
      <c r="B1609" s="747"/>
      <c r="C1609" s="656"/>
      <c r="D1609" s="618"/>
      <c r="E1609" s="619" t="s">
        <v>837</v>
      </c>
      <c r="F1609" s="620" t="s">
        <v>680</v>
      </c>
      <c r="G1609" s="621">
        <f>SUMIF($E$1597:$E$1604,"*.",G1597:G1604)</f>
        <v>0</v>
      </c>
      <c r="H1609" s="621">
        <f>SUMIF($E$1597:$E$1604,"*.",H1597:H1604)</f>
        <v>0</v>
      </c>
      <c r="I1609" s="622"/>
      <c r="J1609" s="623">
        <f>SUMIF($E$1597:$E$1608,"*.",J1597:J1608)</f>
        <v>7375</v>
      </c>
      <c r="K1609" s="624">
        <f>SUMIF($E$1597:$E$1608,"*.",K1597:K1608)</f>
        <v>7275</v>
      </c>
      <c r="L1609" s="623">
        <f>SUMIF($E$1597:$E$1608,"*.",L1597:L1608)</f>
        <v>7275</v>
      </c>
      <c r="M1609" s="623">
        <f>SUMIF($E$1597:$E$1608,"*.",M1597:M1608)</f>
        <v>7487</v>
      </c>
      <c r="N1609" s="625">
        <f>SUMIF($E$1597:$E$1608,"*.",N1597:N1608)</f>
        <v>7479.326</v>
      </c>
      <c r="O1609" s="648"/>
      <c r="P1609" s="648"/>
      <c r="R1609" s="626"/>
      <c r="T1609" s="633"/>
      <c r="U1609" s="632"/>
    </row>
    <row r="1610" spans="2:26" ht="19.149999999999999" customHeight="1">
      <c r="B1610" s="704"/>
      <c r="C1610" s="834"/>
      <c r="D1610" s="705"/>
      <c r="E1610" s="695" t="s">
        <v>681</v>
      </c>
      <c r="F1610" s="687" t="s">
        <v>519</v>
      </c>
      <c r="G1610" s="706"/>
      <c r="H1610" s="706"/>
      <c r="I1610" s="707"/>
      <c r="J1610" s="690"/>
      <c r="K1610" s="693"/>
      <c r="L1610" s="690"/>
      <c r="M1610" s="690"/>
      <c r="N1610" s="708"/>
      <c r="O1610" s="648"/>
      <c r="P1610" s="648"/>
      <c r="R1610" s="626"/>
      <c r="T1610" s="633"/>
      <c r="U1610" s="632"/>
    </row>
    <row r="1611" spans="2:26" ht="19.149999999999999" customHeight="1">
      <c r="B1611" s="704"/>
      <c r="C1611" s="834"/>
      <c r="D1611" s="705"/>
      <c r="E1611" s="695" t="s">
        <v>682</v>
      </c>
      <c r="F1611" s="687" t="s">
        <v>2289</v>
      </c>
      <c r="G1611" s="706"/>
      <c r="H1611" s="706"/>
      <c r="I1611" s="707"/>
      <c r="J1611" s="690"/>
      <c r="K1611" s="693"/>
      <c r="L1611" s="690"/>
      <c r="M1611" s="690"/>
      <c r="N1611" s="708"/>
      <c r="O1611" s="648"/>
      <c r="P1611" s="648"/>
      <c r="R1611" s="626"/>
      <c r="T1611" s="633"/>
      <c r="U1611" s="632"/>
    </row>
    <row r="1612" spans="2:26" ht="19.149999999999999" customHeight="1">
      <c r="B1612" s="606" t="s">
        <v>32</v>
      </c>
      <c r="C1612" s="655">
        <v>82</v>
      </c>
      <c r="D1612" s="774">
        <v>100</v>
      </c>
      <c r="E1612" s="828">
        <v>861000</v>
      </c>
      <c r="F1612" s="710" t="s">
        <v>1058</v>
      </c>
      <c r="G1612" s="610">
        <v>0.7</v>
      </c>
      <c r="H1612" s="610">
        <v>0.30816666666666664</v>
      </c>
      <c r="I1612" s="611" t="s">
        <v>669</v>
      </c>
      <c r="J1612" s="616">
        <v>90</v>
      </c>
      <c r="K1612" s="613">
        <v>35</v>
      </c>
      <c r="L1612" s="616">
        <v>84</v>
      </c>
      <c r="M1612" s="616">
        <v>94</v>
      </c>
      <c r="N1612" s="614">
        <v>6.9258599999999992</v>
      </c>
      <c r="O1612" s="648"/>
      <c r="P1612" s="648"/>
      <c r="R1612" s="626"/>
      <c r="T1612" s="633"/>
      <c r="U1612" s="634"/>
    </row>
    <row r="1613" spans="2:26" ht="19.149999999999999" customHeight="1">
      <c r="B1613" s="606" t="s">
        <v>32</v>
      </c>
      <c r="C1613" s="654">
        <v>81</v>
      </c>
      <c r="D1613" s="607">
        <v>862</v>
      </c>
      <c r="E1613" s="828">
        <v>861000</v>
      </c>
      <c r="F1613" s="710" t="s">
        <v>777</v>
      </c>
      <c r="G1613" s="729"/>
      <c r="H1613" s="729"/>
      <c r="I1613" s="730" t="s">
        <v>175</v>
      </c>
      <c r="J1613" s="731">
        <v>65</v>
      </c>
      <c r="K1613" s="732">
        <v>65</v>
      </c>
      <c r="L1613" s="731">
        <v>65</v>
      </c>
      <c r="M1613" s="731">
        <v>65</v>
      </c>
      <c r="N1613" s="614">
        <v>59.81456</v>
      </c>
      <c r="O1613" s="648"/>
      <c r="P1613" s="648"/>
      <c r="R1613" s="626"/>
      <c r="T1613" s="633"/>
      <c r="U1613" s="636"/>
    </row>
    <row r="1614" spans="2:26" ht="19.149999999999999" customHeight="1">
      <c r="B1614" s="617"/>
      <c r="C1614" s="656"/>
      <c r="D1614" s="618"/>
      <c r="E1614" s="619" t="s">
        <v>682</v>
      </c>
      <c r="F1614" s="620" t="s">
        <v>63</v>
      </c>
      <c r="G1614" s="621">
        <f>SUM(G1612:G1613)</f>
        <v>0.7</v>
      </c>
      <c r="H1614" s="621">
        <f>SUM(H1612:H1613)</f>
        <v>0.30816666666666664</v>
      </c>
      <c r="I1614" s="622"/>
      <c r="J1614" s="623">
        <f>SUM(J1612:J1613)</f>
        <v>155</v>
      </c>
      <c r="K1614" s="624">
        <f>SUM(K1612:K1613)</f>
        <v>100</v>
      </c>
      <c r="L1614" s="623">
        <f>SUM(L1612:L1613)</f>
        <v>149</v>
      </c>
      <c r="M1614" s="623">
        <f>SUM(M1612:M1613)</f>
        <v>159</v>
      </c>
      <c r="N1614" s="625">
        <f>SUM(N1612:N1613)</f>
        <v>66.74042</v>
      </c>
      <c r="O1614" s="648"/>
      <c r="P1614" s="648"/>
      <c r="R1614" s="626"/>
      <c r="T1614" s="633"/>
      <c r="U1614" s="632"/>
    </row>
    <row r="1615" spans="2:26" ht="14">
      <c r="B1615" s="704"/>
      <c r="C1615" s="684"/>
      <c r="D1615" s="705"/>
      <c r="E1615" s="695" t="s">
        <v>64</v>
      </c>
      <c r="F1615" s="687" t="s">
        <v>585</v>
      </c>
      <c r="G1615" s="706"/>
      <c r="H1615" s="706"/>
      <c r="I1615" s="707"/>
      <c r="J1615" s="690"/>
      <c r="K1615" s="693"/>
      <c r="L1615" s="690"/>
      <c r="M1615" s="690"/>
      <c r="N1615" s="708"/>
      <c r="O1615" s="648"/>
      <c r="P1615" s="648"/>
      <c r="R1615" s="626"/>
      <c r="T1615" s="633"/>
      <c r="U1615" s="632"/>
    </row>
    <row r="1616" spans="2:26" ht="19.149999999999999" customHeight="1">
      <c r="B1616" s="606" t="s">
        <v>585</v>
      </c>
      <c r="C1616" s="655">
        <v>82</v>
      </c>
      <c r="D1616" s="615">
        <v>100</v>
      </c>
      <c r="E1616" s="608">
        <v>869000</v>
      </c>
      <c r="F1616" s="609" t="s">
        <v>1058</v>
      </c>
      <c r="G1616" s="610">
        <v>1</v>
      </c>
      <c r="H1616" s="610">
        <v>0</v>
      </c>
      <c r="I1616" s="611" t="s">
        <v>669</v>
      </c>
      <c r="J1616" s="616">
        <f>6.25*2*12</f>
        <v>150</v>
      </c>
      <c r="K1616" s="613">
        <f>6.25*2*2</f>
        <v>25</v>
      </c>
      <c r="L1616" s="616">
        <v>50</v>
      </c>
      <c r="M1616" s="616">
        <v>70</v>
      </c>
      <c r="N1616" s="614">
        <v>0</v>
      </c>
      <c r="O1616" s="648"/>
      <c r="P1616" s="648"/>
      <c r="R1616" s="626"/>
      <c r="T1616" s="633"/>
      <c r="U1616" s="634"/>
      <c r="Z1616" s="216"/>
    </row>
    <row r="1617" spans="2:25" ht="19.149999999999999" customHeight="1">
      <c r="B1617" s="606" t="s">
        <v>585</v>
      </c>
      <c r="C1617" s="654">
        <v>2</v>
      </c>
      <c r="D1617" s="607">
        <v>410</v>
      </c>
      <c r="E1617" s="608">
        <v>869000</v>
      </c>
      <c r="F1617" s="609" t="s">
        <v>342</v>
      </c>
      <c r="G1617" s="610"/>
      <c r="H1617" s="610"/>
      <c r="I1617" s="611" t="s">
        <v>175</v>
      </c>
      <c r="J1617" s="616">
        <v>82</v>
      </c>
      <c r="K1617" s="613">
        <v>82</v>
      </c>
      <c r="L1617" s="616">
        <v>82</v>
      </c>
      <c r="M1617" s="616">
        <v>82</v>
      </c>
      <c r="N1617" s="614">
        <v>77.400000000000006</v>
      </c>
      <c r="O1617" s="648"/>
      <c r="P1617" s="648"/>
      <c r="R1617" s="626"/>
      <c r="T1617" s="633"/>
      <c r="U1617" s="634"/>
    </row>
    <row r="1618" spans="2:25" ht="19.149999999999999" customHeight="1">
      <c r="B1618" s="606" t="s">
        <v>585</v>
      </c>
      <c r="C1618" s="654">
        <v>10</v>
      </c>
      <c r="D1618" s="607">
        <v>540</v>
      </c>
      <c r="E1618" s="608">
        <v>869000</v>
      </c>
      <c r="F1618" s="609" t="s">
        <v>1648</v>
      </c>
      <c r="G1618" s="610"/>
      <c r="H1618" s="610"/>
      <c r="I1618" s="611" t="s">
        <v>175</v>
      </c>
      <c r="J1618" s="616">
        <v>3</v>
      </c>
      <c r="K1618" s="613">
        <v>3</v>
      </c>
      <c r="L1618" s="616">
        <v>5</v>
      </c>
      <c r="M1618" s="616">
        <v>5</v>
      </c>
      <c r="N1618" s="614">
        <v>2.8009499999999998</v>
      </c>
      <c r="O1618" s="648"/>
      <c r="P1618" s="648"/>
      <c r="R1618" s="626"/>
      <c r="T1618" s="633"/>
      <c r="U1618" s="634"/>
    </row>
    <row r="1619" spans="2:25" ht="19.149999999999999" customHeight="1">
      <c r="B1619" s="606" t="s">
        <v>585</v>
      </c>
      <c r="C1619" s="816">
        <v>5</v>
      </c>
      <c r="D1619" s="773">
        <v>750</v>
      </c>
      <c r="E1619" s="608">
        <v>869000</v>
      </c>
      <c r="F1619" s="835" t="s">
        <v>586</v>
      </c>
      <c r="G1619" s="610"/>
      <c r="H1619" s="610"/>
      <c r="I1619" s="611" t="s">
        <v>175</v>
      </c>
      <c r="J1619" s="616">
        <v>11</v>
      </c>
      <c r="K1619" s="613">
        <v>11</v>
      </c>
      <c r="L1619" s="616">
        <v>11</v>
      </c>
      <c r="M1619" s="616">
        <v>11</v>
      </c>
      <c r="N1619" s="614">
        <v>10.92132</v>
      </c>
      <c r="O1619" s="648"/>
      <c r="P1619" s="648"/>
      <c r="R1619" s="626"/>
      <c r="T1619" s="633"/>
      <c r="U1619" s="634"/>
    </row>
    <row r="1620" spans="2:25" ht="19.149999999999999" customHeight="1">
      <c r="B1620" s="606" t="s">
        <v>585</v>
      </c>
      <c r="C1620" s="654">
        <v>82</v>
      </c>
      <c r="D1620" s="607">
        <v>780</v>
      </c>
      <c r="E1620" s="608">
        <v>869000</v>
      </c>
      <c r="F1620" s="609" t="s">
        <v>1072</v>
      </c>
      <c r="G1620" s="729"/>
      <c r="H1620" s="729"/>
      <c r="I1620" s="730" t="s">
        <v>44</v>
      </c>
      <c r="J1620" s="731">
        <v>38</v>
      </c>
      <c r="K1620" s="732">
        <v>0</v>
      </c>
      <c r="L1620" s="731">
        <v>38</v>
      </c>
      <c r="M1620" s="731">
        <v>38</v>
      </c>
      <c r="N1620" s="614">
        <v>34.192080000000004</v>
      </c>
      <c r="O1620" s="648"/>
      <c r="P1620" s="648"/>
      <c r="R1620" s="626"/>
      <c r="T1620" s="633"/>
      <c r="U1620" s="636"/>
    </row>
    <row r="1621" spans="2:25" ht="19.149999999999999" customHeight="1">
      <c r="B1621" s="606" t="s">
        <v>585</v>
      </c>
      <c r="C1621" s="654">
        <v>82</v>
      </c>
      <c r="D1621" s="607">
        <v>781</v>
      </c>
      <c r="E1621" s="608">
        <v>869000</v>
      </c>
      <c r="F1621" s="609" t="s">
        <v>1073</v>
      </c>
      <c r="G1621" s="729"/>
      <c r="H1621" s="729"/>
      <c r="I1621" s="730" t="s">
        <v>175</v>
      </c>
      <c r="J1621" s="731">
        <f>175-150</f>
        <v>25</v>
      </c>
      <c r="K1621" s="732">
        <v>25</v>
      </c>
      <c r="L1621" s="731">
        <v>214</v>
      </c>
      <c r="M1621" s="731">
        <v>214</v>
      </c>
      <c r="N1621" s="614">
        <v>0</v>
      </c>
      <c r="O1621" s="648"/>
      <c r="P1621" s="648"/>
      <c r="R1621" s="626"/>
      <c r="T1621" s="633"/>
      <c r="U1621" s="636"/>
    </row>
    <row r="1622" spans="2:25" ht="28">
      <c r="B1622" s="606" t="s">
        <v>585</v>
      </c>
      <c r="C1622" s="654">
        <v>82</v>
      </c>
      <c r="D1622" s="607">
        <v>782</v>
      </c>
      <c r="E1622" s="608">
        <v>869000</v>
      </c>
      <c r="F1622" s="609" t="s">
        <v>1720</v>
      </c>
      <c r="G1622" s="729"/>
      <c r="H1622" s="729"/>
      <c r="I1622" s="730" t="s">
        <v>44</v>
      </c>
      <c r="J1622" s="731">
        <v>15</v>
      </c>
      <c r="K1622" s="732">
        <v>15</v>
      </c>
      <c r="L1622" s="731">
        <v>15</v>
      </c>
      <c r="M1622" s="731">
        <v>15</v>
      </c>
      <c r="N1622" s="614">
        <v>15</v>
      </c>
      <c r="O1622" s="648"/>
      <c r="P1622" s="648"/>
      <c r="R1622" s="626"/>
      <c r="T1622" s="633"/>
      <c r="U1622" s="636"/>
    </row>
    <row r="1623" spans="2:25" ht="19.149999999999999" customHeight="1">
      <c r="B1623" s="617"/>
      <c r="C1623" s="656"/>
      <c r="D1623" s="618"/>
      <c r="E1623" s="619" t="s">
        <v>64</v>
      </c>
      <c r="F1623" s="620" t="s">
        <v>797</v>
      </c>
      <c r="G1623" s="621">
        <f>SUM(G1616:G1622)</f>
        <v>1</v>
      </c>
      <c r="H1623" s="621">
        <f>SUM(H1616:H1622)</f>
        <v>0</v>
      </c>
      <c r="I1623" s="622"/>
      <c r="J1623" s="623">
        <f>SUM(J1616:J1622)</f>
        <v>324</v>
      </c>
      <c r="K1623" s="624">
        <f>SUM(K1616:K1622)</f>
        <v>161</v>
      </c>
      <c r="L1623" s="623">
        <f>SUM(L1616:L1622)</f>
        <v>415</v>
      </c>
      <c r="M1623" s="623">
        <f>SUM(M1616:M1622)</f>
        <v>435</v>
      </c>
      <c r="N1623" s="625">
        <f>SUM(N1616:N1622)</f>
        <v>140.31434999999999</v>
      </c>
      <c r="O1623" s="648"/>
      <c r="P1623" s="648"/>
      <c r="R1623" s="626"/>
      <c r="T1623" s="633"/>
      <c r="U1623" s="632"/>
    </row>
    <row r="1624" spans="2:25" ht="19.149999999999999" customHeight="1">
      <c r="B1624" s="617"/>
      <c r="C1624" s="656"/>
      <c r="D1624" s="618"/>
      <c r="E1624" s="619" t="s">
        <v>681</v>
      </c>
      <c r="F1624" s="620" t="s">
        <v>624</v>
      </c>
      <c r="G1624" s="621">
        <f>SUMIF($E$1610:$E$1623,"*.",G1610:G1623)</f>
        <v>1.7</v>
      </c>
      <c r="H1624" s="621">
        <f>SUMIF($E$1610:$E$1623,"*.",H1610:H1623)</f>
        <v>0.30816666666666664</v>
      </c>
      <c r="I1624" s="622"/>
      <c r="J1624" s="623">
        <f>SUMIF($E$1610:$E$1623,"*.",J1610:J1623)</f>
        <v>479</v>
      </c>
      <c r="K1624" s="624">
        <f>SUMIF($E$1610:$E$1623,"*.",K1610:K1623)</f>
        <v>261</v>
      </c>
      <c r="L1624" s="623">
        <f>SUMIF($E$1610:$E$1623,"*.",L1610:L1623)</f>
        <v>564</v>
      </c>
      <c r="M1624" s="623">
        <f>SUMIF($E$1610:$E$1623,"*.",M1610:M1623)</f>
        <v>594</v>
      </c>
      <c r="N1624" s="625">
        <f>SUMIF($E$1610:$E$1623,"*.",N1610:N1623)</f>
        <v>207.05476999999999</v>
      </c>
      <c r="O1624" s="648"/>
      <c r="P1624" s="648"/>
      <c r="R1624" s="626"/>
      <c r="T1624" s="633"/>
      <c r="U1624" s="632"/>
    </row>
    <row r="1625" spans="2:25" ht="19.149999999999999" customHeight="1">
      <c r="B1625" s="704"/>
      <c r="C1625" s="684"/>
      <c r="D1625" s="705"/>
      <c r="E1625" s="695" t="s">
        <v>798</v>
      </c>
      <c r="F1625" s="687" t="s">
        <v>1059</v>
      </c>
      <c r="G1625" s="706"/>
      <c r="H1625" s="706"/>
      <c r="I1625" s="707"/>
      <c r="J1625" s="690"/>
      <c r="K1625" s="693"/>
      <c r="L1625" s="690"/>
      <c r="M1625" s="690"/>
      <c r="N1625" s="708"/>
      <c r="O1625" s="648"/>
      <c r="P1625" s="648"/>
      <c r="R1625" s="626"/>
      <c r="T1625" s="633"/>
      <c r="U1625" s="632"/>
    </row>
    <row r="1626" spans="2:25" ht="19.149999999999999" customHeight="1">
      <c r="B1626" s="606" t="s">
        <v>1059</v>
      </c>
      <c r="C1626" s="655">
        <v>3</v>
      </c>
      <c r="D1626" s="615">
        <v>100</v>
      </c>
      <c r="E1626" s="608">
        <v>879000</v>
      </c>
      <c r="F1626" s="609" t="s">
        <v>1058</v>
      </c>
      <c r="G1626" s="610">
        <v>6.7</v>
      </c>
      <c r="H1626" s="610">
        <v>5.5693500000000009</v>
      </c>
      <c r="I1626" s="611" t="s">
        <v>669</v>
      </c>
      <c r="J1626" s="616">
        <f>1127-25</f>
        <v>1102</v>
      </c>
      <c r="K1626" s="613">
        <v>912</v>
      </c>
      <c r="L1626" s="616">
        <v>1097</v>
      </c>
      <c r="M1626" s="616">
        <v>1119</v>
      </c>
      <c r="N1626" s="614">
        <v>1095.6769899999999</v>
      </c>
      <c r="O1626" s="648"/>
      <c r="P1626" s="648"/>
      <c r="R1626" s="626"/>
      <c r="T1626" s="633"/>
      <c r="U1626" s="634"/>
      <c r="Y1626" s="657"/>
    </row>
    <row r="1627" spans="2:25" ht="28.5" customHeight="1">
      <c r="B1627" s="606" t="s">
        <v>1059</v>
      </c>
      <c r="C1627" s="654">
        <v>3</v>
      </c>
      <c r="D1627" s="607">
        <v>101</v>
      </c>
      <c r="E1627" s="608">
        <v>879000</v>
      </c>
      <c r="F1627" s="609" t="s">
        <v>2208</v>
      </c>
      <c r="G1627" s="610">
        <v>0.5</v>
      </c>
      <c r="H1627" s="610">
        <v>0.5</v>
      </c>
      <c r="I1627" s="611" t="s">
        <v>669</v>
      </c>
      <c r="J1627" s="616">
        <v>91</v>
      </c>
      <c r="K1627" s="613">
        <v>90</v>
      </c>
      <c r="L1627" s="616">
        <v>120</v>
      </c>
      <c r="M1627" s="616">
        <v>120</v>
      </c>
      <c r="N1627" s="614">
        <v>96.019589999999994</v>
      </c>
      <c r="O1627" s="648"/>
      <c r="P1627" s="648"/>
      <c r="R1627" s="626"/>
      <c r="T1627" s="633"/>
      <c r="U1627" s="634"/>
    </row>
    <row r="1628" spans="2:25" ht="19.149999999999999" customHeight="1">
      <c r="B1628" s="606" t="s">
        <v>1059</v>
      </c>
      <c r="C1628" s="654">
        <v>3</v>
      </c>
      <c r="D1628" s="607">
        <v>470</v>
      </c>
      <c r="E1628" s="608">
        <v>879000</v>
      </c>
      <c r="F1628" s="609" t="s">
        <v>343</v>
      </c>
      <c r="G1628" s="610"/>
      <c r="H1628" s="610"/>
      <c r="I1628" s="611" t="s">
        <v>44</v>
      </c>
      <c r="J1628" s="616">
        <v>2</v>
      </c>
      <c r="K1628" s="613">
        <v>2</v>
      </c>
      <c r="L1628" s="616">
        <v>2</v>
      </c>
      <c r="M1628" s="616">
        <v>2</v>
      </c>
      <c r="N1628" s="614">
        <v>1.2590999999999999</v>
      </c>
      <c r="O1628" s="648"/>
      <c r="P1628" s="648"/>
      <c r="R1628" s="626"/>
      <c r="T1628" s="633"/>
      <c r="U1628" s="634"/>
    </row>
    <row r="1629" spans="2:25" ht="19.149999999999999" customHeight="1">
      <c r="B1629" s="606" t="s">
        <v>1059</v>
      </c>
      <c r="C1629" s="654">
        <v>10</v>
      </c>
      <c r="D1629" s="607">
        <v>540</v>
      </c>
      <c r="E1629" s="608">
        <v>879000</v>
      </c>
      <c r="F1629" s="609" t="s">
        <v>1648</v>
      </c>
      <c r="G1629" s="610"/>
      <c r="H1629" s="610"/>
      <c r="I1629" s="611" t="s">
        <v>175</v>
      </c>
      <c r="J1629" s="616">
        <v>11</v>
      </c>
      <c r="K1629" s="613">
        <v>9</v>
      </c>
      <c r="L1629" s="616">
        <v>11</v>
      </c>
      <c r="M1629" s="616">
        <v>11</v>
      </c>
      <c r="N1629" s="614">
        <v>8.5551499999999994</v>
      </c>
      <c r="O1629" s="648"/>
      <c r="P1629" s="648"/>
      <c r="R1629" s="626"/>
      <c r="T1629" s="633"/>
      <c r="U1629" s="634"/>
    </row>
    <row r="1630" spans="2:25" ht="19.149999999999999" customHeight="1">
      <c r="B1630" s="606" t="s">
        <v>1059</v>
      </c>
      <c r="C1630" s="655">
        <v>12</v>
      </c>
      <c r="D1630" s="615">
        <v>550</v>
      </c>
      <c r="E1630" s="608">
        <v>879000</v>
      </c>
      <c r="F1630" s="609" t="s">
        <v>676</v>
      </c>
      <c r="G1630" s="610"/>
      <c r="H1630" s="610"/>
      <c r="I1630" s="611" t="s">
        <v>44</v>
      </c>
      <c r="J1630" s="616">
        <v>151</v>
      </c>
      <c r="K1630" s="613">
        <v>51</v>
      </c>
      <c r="L1630" s="616">
        <v>151</v>
      </c>
      <c r="M1630" s="616">
        <v>171</v>
      </c>
      <c r="N1630" s="614">
        <v>154.62176000000002</v>
      </c>
      <c r="O1630" s="648"/>
      <c r="P1630" s="648"/>
      <c r="R1630" s="626"/>
      <c r="T1630" s="633"/>
      <c r="U1630" s="634"/>
    </row>
    <row r="1631" spans="2:25" ht="19.149999999999999" customHeight="1">
      <c r="B1631" s="606" t="s">
        <v>1059</v>
      </c>
      <c r="C1631" s="655">
        <v>5</v>
      </c>
      <c r="D1631" s="615">
        <v>730</v>
      </c>
      <c r="E1631" s="608">
        <v>879000</v>
      </c>
      <c r="F1631" s="609" t="s">
        <v>1552</v>
      </c>
      <c r="G1631" s="610"/>
      <c r="H1631" s="610"/>
      <c r="I1631" s="611" t="s">
        <v>175</v>
      </c>
      <c r="J1631" s="616">
        <v>60</v>
      </c>
      <c r="K1631" s="613">
        <v>60</v>
      </c>
      <c r="L1631" s="616">
        <v>45</v>
      </c>
      <c r="M1631" s="616">
        <v>45</v>
      </c>
      <c r="N1631" s="614">
        <v>43.384410000000003</v>
      </c>
      <c r="O1631" s="648"/>
      <c r="P1631" s="648"/>
      <c r="R1631" s="626"/>
      <c r="T1631" s="633"/>
      <c r="U1631" s="634"/>
    </row>
    <row r="1632" spans="2:25" ht="19.149999999999999" customHeight="1">
      <c r="B1632" s="606" t="s">
        <v>1059</v>
      </c>
      <c r="C1632" s="654">
        <v>3</v>
      </c>
      <c r="D1632" s="607">
        <v>750</v>
      </c>
      <c r="E1632" s="608">
        <v>879000</v>
      </c>
      <c r="F1632" s="609" t="s">
        <v>1953</v>
      </c>
      <c r="G1632" s="610"/>
      <c r="H1632" s="610"/>
      <c r="I1632" s="611" t="s">
        <v>175</v>
      </c>
      <c r="J1632" s="616">
        <v>0</v>
      </c>
      <c r="K1632" s="613">
        <v>0</v>
      </c>
      <c r="L1632" s="616">
        <v>0</v>
      </c>
      <c r="M1632" s="616">
        <v>0</v>
      </c>
      <c r="N1632" s="614">
        <v>132</v>
      </c>
      <c r="O1632" s="648"/>
      <c r="P1632" s="648"/>
      <c r="R1632" s="626"/>
      <c r="T1632" s="633"/>
      <c r="U1632" s="634"/>
    </row>
    <row r="1633" spans="2:26" ht="19.149999999999999" customHeight="1">
      <c r="B1633" s="606" t="s">
        <v>1059</v>
      </c>
      <c r="C1633" s="655">
        <v>3</v>
      </c>
      <c r="D1633" s="615">
        <v>780</v>
      </c>
      <c r="E1633" s="608">
        <v>879000</v>
      </c>
      <c r="F1633" s="609" t="s">
        <v>725</v>
      </c>
      <c r="G1633" s="610"/>
      <c r="H1633" s="610"/>
      <c r="I1633" s="611" t="s">
        <v>44</v>
      </c>
      <c r="J1633" s="616">
        <v>257</v>
      </c>
      <c r="K1633" s="613">
        <v>170</v>
      </c>
      <c r="L1633" s="616">
        <v>220</v>
      </c>
      <c r="M1633" s="616">
        <v>270</v>
      </c>
      <c r="N1633" s="614">
        <v>214.80082000000002</v>
      </c>
      <c r="O1633" s="648"/>
      <c r="P1633" s="648"/>
      <c r="R1633" s="626"/>
      <c r="T1633" s="633"/>
      <c r="U1633" s="634"/>
    </row>
    <row r="1634" spans="2:26" ht="19.149999999999999" customHeight="1">
      <c r="B1634" s="606" t="s">
        <v>1059</v>
      </c>
      <c r="C1634" s="655">
        <v>3</v>
      </c>
      <c r="D1634" s="615">
        <v>781</v>
      </c>
      <c r="E1634" s="608">
        <v>879000</v>
      </c>
      <c r="F1634" s="609" t="s">
        <v>1548</v>
      </c>
      <c r="G1634" s="610"/>
      <c r="H1634" s="610"/>
      <c r="I1634" s="611" t="s">
        <v>44</v>
      </c>
      <c r="J1634" s="616">
        <v>167</v>
      </c>
      <c r="K1634" s="613">
        <v>56</v>
      </c>
      <c r="L1634" s="616">
        <v>56</v>
      </c>
      <c r="M1634" s="616">
        <v>176</v>
      </c>
      <c r="N1634" s="614">
        <v>46.506680000000003</v>
      </c>
      <c r="O1634" s="648"/>
      <c r="P1634" s="648"/>
      <c r="R1634" s="626"/>
      <c r="T1634" s="633"/>
      <c r="U1634" s="634"/>
    </row>
    <row r="1635" spans="2:26" ht="19.149999999999999" customHeight="1">
      <c r="B1635" s="606" t="s">
        <v>1059</v>
      </c>
      <c r="C1635" s="654">
        <v>3</v>
      </c>
      <c r="D1635" s="607">
        <v>782</v>
      </c>
      <c r="E1635" s="608">
        <v>879000</v>
      </c>
      <c r="F1635" s="724" t="s">
        <v>1144</v>
      </c>
      <c r="G1635" s="610"/>
      <c r="H1635" s="610"/>
      <c r="I1635" s="611" t="s">
        <v>175</v>
      </c>
      <c r="J1635" s="616">
        <v>60</v>
      </c>
      <c r="K1635" s="613">
        <v>60</v>
      </c>
      <c r="L1635" s="616">
        <v>60</v>
      </c>
      <c r="M1635" s="616">
        <v>60</v>
      </c>
      <c r="N1635" s="614">
        <v>203.92804999999998</v>
      </c>
      <c r="O1635" s="648"/>
      <c r="P1635" s="648"/>
      <c r="R1635" s="626"/>
      <c r="T1635" s="633"/>
      <c r="U1635" s="634"/>
    </row>
    <row r="1636" spans="2:26" ht="27.65" customHeight="1">
      <c r="B1636" s="606" t="s">
        <v>1059</v>
      </c>
      <c r="C1636" s="654">
        <v>3</v>
      </c>
      <c r="D1636" s="607">
        <v>786</v>
      </c>
      <c r="E1636" s="608">
        <v>879000</v>
      </c>
      <c r="F1636" s="703" t="s">
        <v>2022</v>
      </c>
      <c r="G1636" s="610"/>
      <c r="H1636" s="610"/>
      <c r="I1636" s="611" t="s">
        <v>44</v>
      </c>
      <c r="J1636" s="616">
        <v>29</v>
      </c>
      <c r="K1636" s="613">
        <v>0</v>
      </c>
      <c r="L1636" s="616">
        <v>30</v>
      </c>
      <c r="M1636" s="616">
        <v>30</v>
      </c>
      <c r="N1636" s="614">
        <v>0</v>
      </c>
      <c r="O1636" s="648"/>
      <c r="P1636" s="648"/>
      <c r="R1636" s="626"/>
      <c r="T1636" s="633"/>
      <c r="U1636" s="634"/>
    </row>
    <row r="1637" spans="2:26" ht="19.149999999999999" customHeight="1">
      <c r="B1637" s="606" t="s">
        <v>1059</v>
      </c>
      <c r="C1637" s="655">
        <v>3</v>
      </c>
      <c r="D1637" s="615">
        <v>787</v>
      </c>
      <c r="E1637" s="608">
        <v>879000</v>
      </c>
      <c r="F1637" s="724" t="s">
        <v>1933</v>
      </c>
      <c r="G1637" s="610"/>
      <c r="H1637" s="610"/>
      <c r="I1637" s="611" t="s">
        <v>44</v>
      </c>
      <c r="J1637" s="616">
        <v>95</v>
      </c>
      <c r="K1637" s="613">
        <v>60</v>
      </c>
      <c r="L1637" s="616">
        <v>110</v>
      </c>
      <c r="M1637" s="616">
        <v>170</v>
      </c>
      <c r="N1637" s="614">
        <v>16.113859999999999</v>
      </c>
      <c r="O1637" s="648"/>
      <c r="P1637" s="648"/>
      <c r="R1637" s="626"/>
      <c r="T1637" s="633"/>
      <c r="U1637" s="634"/>
    </row>
    <row r="1638" spans="2:26" ht="18.649999999999999" customHeight="1">
      <c r="B1638" s="606" t="s">
        <v>1059</v>
      </c>
      <c r="C1638" s="655">
        <v>7</v>
      </c>
      <c r="D1638" s="615">
        <v>820</v>
      </c>
      <c r="E1638" s="608">
        <v>879000</v>
      </c>
      <c r="F1638" s="609" t="s">
        <v>1436</v>
      </c>
      <c r="G1638" s="610"/>
      <c r="H1638" s="610"/>
      <c r="I1638" s="611" t="s">
        <v>175</v>
      </c>
      <c r="J1638" s="616">
        <v>68</v>
      </c>
      <c r="K1638" s="613">
        <v>68</v>
      </c>
      <c r="L1638" s="616">
        <v>68</v>
      </c>
      <c r="M1638" s="616">
        <v>80</v>
      </c>
      <c r="N1638" s="614">
        <v>43.933</v>
      </c>
      <c r="O1638" s="648"/>
      <c r="P1638" s="648"/>
      <c r="R1638" s="626"/>
      <c r="T1638" s="633"/>
      <c r="U1638" s="634"/>
      <c r="Z1638" s="216"/>
    </row>
    <row r="1639" spans="2:26" ht="19.149999999999999" customHeight="1">
      <c r="B1639" s="606" t="s">
        <v>1059</v>
      </c>
      <c r="C1639" s="654">
        <v>3</v>
      </c>
      <c r="D1639" s="607">
        <v>930</v>
      </c>
      <c r="E1639" s="608">
        <v>879000</v>
      </c>
      <c r="F1639" s="609" t="s">
        <v>611</v>
      </c>
      <c r="G1639" s="610"/>
      <c r="H1639" s="610"/>
      <c r="I1639" s="611" t="s">
        <v>44</v>
      </c>
      <c r="J1639" s="616">
        <v>4</v>
      </c>
      <c r="K1639" s="613">
        <v>4</v>
      </c>
      <c r="L1639" s="616">
        <v>4</v>
      </c>
      <c r="M1639" s="616">
        <v>4</v>
      </c>
      <c r="N1639" s="614">
        <v>3.5433699999999999</v>
      </c>
      <c r="O1639" s="648"/>
      <c r="P1639" s="648"/>
      <c r="R1639" s="626"/>
      <c r="T1639" s="633"/>
      <c r="U1639" s="634"/>
    </row>
    <row r="1640" spans="2:26" ht="19.149999999999999" customHeight="1">
      <c r="B1640" s="836"/>
      <c r="C1640" s="837"/>
      <c r="D1640" s="838"/>
      <c r="E1640" s="839" t="s">
        <v>798</v>
      </c>
      <c r="F1640" s="840" t="s">
        <v>458</v>
      </c>
      <c r="G1640" s="841">
        <f>SUM(G1626:G1639)</f>
        <v>7.2</v>
      </c>
      <c r="H1640" s="841">
        <f>SUM(H1626:H1639)</f>
        <v>6.0693500000000009</v>
      </c>
      <c r="I1640" s="842"/>
      <c r="J1640" s="726">
        <f>SUM(J1626:J1639)</f>
        <v>2097</v>
      </c>
      <c r="K1640" s="843">
        <f>SUM(K1626:K1639)</f>
        <v>1542</v>
      </c>
      <c r="L1640" s="726">
        <f>SUM(L1626:L1639)</f>
        <v>1974</v>
      </c>
      <c r="M1640" s="726">
        <f>SUM(M1626:M1639)</f>
        <v>2258</v>
      </c>
      <c r="N1640" s="844">
        <f>SUM(N1626:N1639)</f>
        <v>2060.3427799999995</v>
      </c>
      <c r="O1640" s="648"/>
      <c r="P1640" s="648"/>
      <c r="R1640" s="626"/>
      <c r="T1640" s="633"/>
      <c r="U1640" s="632"/>
    </row>
    <row r="1641" spans="2:26" ht="19.149999999999999" customHeight="1" thickBot="1">
      <c r="B1641" s="845"/>
      <c r="C1641" s="846"/>
      <c r="D1641" s="735"/>
      <c r="E1641" s="736" t="s">
        <v>389</v>
      </c>
      <c r="F1641" s="737" t="s">
        <v>282</v>
      </c>
      <c r="G1641" s="738">
        <f>SUMIF($E$612:$E$1640,"??.",G612:G1640)</f>
        <v>1802.4400000000003</v>
      </c>
      <c r="H1641" s="738">
        <f>SUMIF($E$612:$E$1640,"??.",H612:H1640)</f>
        <v>1615.1733333333329</v>
      </c>
      <c r="I1641" s="739"/>
      <c r="J1641" s="740">
        <f>SUMIF($E$612:$E$1640,"??.",J612:J1640)</f>
        <v>583421</v>
      </c>
      <c r="K1641" s="741">
        <f>SUMIF($E$612:$E$1640,"??.",K612:K1640)</f>
        <v>543160</v>
      </c>
      <c r="L1641" s="740">
        <f>SUMIF($E$612:$E$1640,"??.",L612:L1640)</f>
        <v>561543</v>
      </c>
      <c r="M1641" s="740">
        <f>SUMIF($E$612:$E$1640,"??.",M612:M1640)</f>
        <v>556444</v>
      </c>
      <c r="N1641" s="742">
        <f>SUMIF($E$612:$E$1640,"??.",N612:N1640)</f>
        <v>515850.01472999988</v>
      </c>
      <c r="O1641" s="648"/>
      <c r="P1641" s="648"/>
      <c r="R1641" s="626"/>
      <c r="T1641" s="633"/>
      <c r="U1641" s="632"/>
    </row>
    <row r="1642" spans="2:26" ht="19.149999999999999" customHeight="1" thickTop="1">
      <c r="B1642" s="704"/>
      <c r="C1642" s="684"/>
      <c r="D1642" s="705"/>
      <c r="E1642" s="695" t="s">
        <v>743</v>
      </c>
      <c r="F1642" s="687" t="s">
        <v>992</v>
      </c>
      <c r="G1642" s="706"/>
      <c r="H1642" s="706"/>
      <c r="I1642" s="723"/>
      <c r="J1642" s="690"/>
      <c r="K1642" s="693"/>
      <c r="L1642" s="690"/>
      <c r="M1642" s="690"/>
      <c r="N1642" s="708"/>
      <c r="O1642" s="648"/>
      <c r="P1642" s="648"/>
      <c r="R1642" s="626"/>
      <c r="T1642" s="633"/>
      <c r="U1642" s="632"/>
    </row>
    <row r="1643" spans="2:26" ht="19.149999999999999" customHeight="1">
      <c r="B1643" s="704"/>
      <c r="C1643" s="684"/>
      <c r="D1643" s="705"/>
      <c r="E1643" s="695" t="s">
        <v>923</v>
      </c>
      <c r="F1643" s="687" t="s">
        <v>1101</v>
      </c>
      <c r="G1643" s="706"/>
      <c r="H1643" s="706"/>
      <c r="I1643" s="707"/>
      <c r="J1643" s="690"/>
      <c r="K1643" s="693"/>
      <c r="L1643" s="690"/>
      <c r="M1643" s="690"/>
      <c r="N1643" s="708"/>
      <c r="O1643" s="648"/>
      <c r="P1643" s="648"/>
      <c r="R1643" s="626"/>
      <c r="T1643" s="633"/>
      <c r="U1643" s="632"/>
    </row>
    <row r="1644" spans="2:26" ht="19.149999999999999" customHeight="1">
      <c r="B1644" s="704"/>
      <c r="C1644" s="684"/>
      <c r="D1644" s="705"/>
      <c r="E1644" s="695" t="s">
        <v>1187</v>
      </c>
      <c r="F1644" s="687" t="s">
        <v>1188</v>
      </c>
      <c r="G1644" s="706"/>
      <c r="H1644" s="706"/>
      <c r="I1644" s="707"/>
      <c r="J1644" s="690"/>
      <c r="K1644" s="693"/>
      <c r="L1644" s="690"/>
      <c r="M1644" s="690"/>
      <c r="N1644" s="708"/>
      <c r="O1644" s="648"/>
      <c r="P1644" s="648"/>
      <c r="R1644" s="626"/>
      <c r="T1644" s="633"/>
      <c r="U1644" s="632"/>
    </row>
    <row r="1645" spans="2:26" ht="28">
      <c r="B1645" s="829" t="s">
        <v>810</v>
      </c>
      <c r="C1645" s="654">
        <v>4</v>
      </c>
      <c r="D1645" s="607">
        <v>100</v>
      </c>
      <c r="E1645" s="608">
        <v>913200</v>
      </c>
      <c r="F1645" s="609" t="s">
        <v>1351</v>
      </c>
      <c r="G1645" s="610">
        <v>9</v>
      </c>
      <c r="H1645" s="610">
        <v>9</v>
      </c>
      <c r="I1645" s="611" t="s">
        <v>669</v>
      </c>
      <c r="J1645" s="616">
        <v>1995</v>
      </c>
      <c r="K1645" s="613">
        <v>1950</v>
      </c>
      <c r="L1645" s="616">
        <v>2160</v>
      </c>
      <c r="M1645" s="616">
        <v>2160</v>
      </c>
      <c r="N1645" s="614">
        <v>1968.93993</v>
      </c>
      <c r="O1645" s="648"/>
      <c r="P1645" s="648"/>
      <c r="R1645" s="626"/>
      <c r="T1645" s="633"/>
      <c r="U1645" s="634"/>
    </row>
    <row r="1646" spans="2:26" ht="19.149999999999999" customHeight="1">
      <c r="B1646" s="847"/>
      <c r="C1646" s="848"/>
      <c r="D1646" s="814"/>
      <c r="E1646" s="849" t="s">
        <v>1187</v>
      </c>
      <c r="F1646" s="620" t="s">
        <v>1082</v>
      </c>
      <c r="G1646" s="621">
        <f>SUM(G1645:G1645)</f>
        <v>9</v>
      </c>
      <c r="H1646" s="621">
        <f>SUM(H1645:H1645)</f>
        <v>9</v>
      </c>
      <c r="I1646" s="622"/>
      <c r="J1646" s="623">
        <f>SUM(J1645:J1645)</f>
        <v>1995</v>
      </c>
      <c r="K1646" s="624">
        <f>SUM(K1645:K1645)</f>
        <v>1950</v>
      </c>
      <c r="L1646" s="623">
        <f>SUM(L1645:L1645)</f>
        <v>2160</v>
      </c>
      <c r="M1646" s="623">
        <f>SUM(M1645:M1645)</f>
        <v>2160</v>
      </c>
      <c r="N1646" s="625">
        <f>SUM(N1645:N1645)</f>
        <v>1968.93993</v>
      </c>
      <c r="O1646" s="648"/>
      <c r="P1646" s="648"/>
      <c r="R1646" s="626"/>
      <c r="T1646" s="633"/>
      <c r="U1646" s="632"/>
    </row>
    <row r="1647" spans="2:26" ht="19.149999999999999" customHeight="1">
      <c r="B1647" s="836"/>
      <c r="C1647" s="837"/>
      <c r="D1647" s="838"/>
      <c r="E1647" s="839" t="s">
        <v>923</v>
      </c>
      <c r="F1647" s="620" t="s">
        <v>35</v>
      </c>
      <c r="G1647" s="621">
        <f>SUMIF($E$1643:$E$1646,"*.",G1643:G1646)</f>
        <v>9</v>
      </c>
      <c r="H1647" s="621">
        <f>SUMIF($E$1643:$E$1646,"*.",H1643:H1646)</f>
        <v>9</v>
      </c>
      <c r="I1647" s="622"/>
      <c r="J1647" s="623">
        <f>SUMIF($E$1643:$E$1646,"*.",J1643:J1646)</f>
        <v>1995</v>
      </c>
      <c r="K1647" s="624">
        <f>SUMIF($E$1643:$E$1646,"*.",K1643:K1646)</f>
        <v>1950</v>
      </c>
      <c r="L1647" s="623">
        <f>SUMIF($E$1643:$E$1646,"*.",L1643:L1646)</f>
        <v>2160</v>
      </c>
      <c r="M1647" s="623">
        <f>SUMIF($E$1643:$E$1646,"*.",M1643:M1646)</f>
        <v>2160</v>
      </c>
      <c r="N1647" s="625">
        <f>SUMIF($E$1643:$E$1646,"*.",N1643:N1646)</f>
        <v>1968.93993</v>
      </c>
      <c r="O1647" s="648"/>
      <c r="P1647" s="648"/>
      <c r="R1647" s="626"/>
      <c r="T1647" s="633"/>
      <c r="U1647" s="632"/>
    </row>
    <row r="1648" spans="2:26" ht="19.149999999999999" customHeight="1">
      <c r="B1648" s="704"/>
      <c r="C1648" s="684"/>
      <c r="D1648" s="705"/>
      <c r="E1648" s="695" t="s">
        <v>36</v>
      </c>
      <c r="F1648" s="753" t="s">
        <v>403</v>
      </c>
      <c r="G1648" s="706"/>
      <c r="H1648" s="706"/>
      <c r="I1648" s="707"/>
      <c r="J1648" s="690"/>
      <c r="K1648" s="693"/>
      <c r="L1648" s="690"/>
      <c r="M1648" s="690"/>
      <c r="N1648" s="708"/>
      <c r="O1648" s="648"/>
      <c r="P1648" s="648"/>
      <c r="R1648" s="626"/>
      <c r="T1648" s="633"/>
      <c r="U1648" s="632"/>
    </row>
    <row r="1649" spans="2:26" ht="19.149999999999999" customHeight="1">
      <c r="B1649" s="704"/>
      <c r="C1649" s="684"/>
      <c r="D1649" s="705"/>
      <c r="E1649" s="695" t="s">
        <v>807</v>
      </c>
      <c r="F1649" s="687" t="s">
        <v>169</v>
      </c>
      <c r="G1649" s="706"/>
      <c r="H1649" s="706"/>
      <c r="I1649" s="707"/>
      <c r="J1649" s="690"/>
      <c r="K1649" s="693"/>
      <c r="L1649" s="690"/>
      <c r="M1649" s="690"/>
      <c r="N1649" s="708"/>
      <c r="O1649" s="648"/>
      <c r="P1649" s="648"/>
      <c r="R1649" s="626"/>
      <c r="T1649" s="633"/>
      <c r="U1649" s="632"/>
    </row>
    <row r="1650" spans="2:26" ht="19.149999999999999" customHeight="1">
      <c r="B1650" s="606" t="s">
        <v>169</v>
      </c>
      <c r="C1650" s="655">
        <v>2</v>
      </c>
      <c r="D1650" s="615">
        <v>100</v>
      </c>
      <c r="E1650" s="608">
        <v>933000</v>
      </c>
      <c r="F1650" s="609" t="s">
        <v>1301</v>
      </c>
      <c r="G1650" s="610">
        <v>7.5</v>
      </c>
      <c r="H1650" s="610">
        <v>7.5</v>
      </c>
      <c r="I1650" s="611" t="s">
        <v>669</v>
      </c>
      <c r="J1650" s="616">
        <f>1600-70</f>
        <v>1530</v>
      </c>
      <c r="K1650" s="613">
        <v>1400</v>
      </c>
      <c r="L1650" s="616">
        <v>1563</v>
      </c>
      <c r="M1650" s="616">
        <v>1594</v>
      </c>
      <c r="N1650" s="614">
        <v>1299.0471399999999</v>
      </c>
      <c r="O1650" s="648"/>
      <c r="P1650" s="648"/>
      <c r="R1650" s="626"/>
      <c r="T1650" s="633"/>
      <c r="U1650" s="634"/>
    </row>
    <row r="1651" spans="2:26" ht="19.149999999999999" customHeight="1">
      <c r="B1651" s="606" t="s">
        <v>169</v>
      </c>
      <c r="C1651" s="654">
        <v>5</v>
      </c>
      <c r="D1651" s="607">
        <v>420</v>
      </c>
      <c r="E1651" s="608">
        <v>933000</v>
      </c>
      <c r="F1651" s="724" t="s">
        <v>199</v>
      </c>
      <c r="G1651" s="610"/>
      <c r="H1651" s="610"/>
      <c r="I1651" s="611" t="s">
        <v>44</v>
      </c>
      <c r="J1651" s="616">
        <v>225</v>
      </c>
      <c r="K1651" s="613">
        <v>225</v>
      </c>
      <c r="L1651" s="616">
        <v>225</v>
      </c>
      <c r="M1651" s="616">
        <v>225</v>
      </c>
      <c r="N1651" s="614">
        <v>220.54622000000001</v>
      </c>
      <c r="O1651" s="648"/>
      <c r="P1651" s="648"/>
      <c r="R1651" s="626"/>
      <c r="T1651" s="633"/>
      <c r="U1651" s="634"/>
    </row>
    <row r="1652" spans="2:26" ht="19.149999999999999" customHeight="1">
      <c r="B1652" s="606" t="s">
        <v>169</v>
      </c>
      <c r="C1652" s="655">
        <v>2</v>
      </c>
      <c r="D1652" s="615">
        <v>421</v>
      </c>
      <c r="E1652" s="608">
        <v>933000</v>
      </c>
      <c r="F1652" s="724" t="s">
        <v>167</v>
      </c>
      <c r="G1652" s="610"/>
      <c r="H1652" s="610"/>
      <c r="I1652" s="611" t="s">
        <v>44</v>
      </c>
      <c r="J1652" s="616">
        <v>200</v>
      </c>
      <c r="K1652" s="613">
        <v>190</v>
      </c>
      <c r="L1652" s="616">
        <v>190</v>
      </c>
      <c r="M1652" s="616">
        <v>220</v>
      </c>
      <c r="N1652" s="614">
        <v>27.9377</v>
      </c>
      <c r="O1652" s="648"/>
      <c r="P1652" s="648"/>
      <c r="R1652" s="626"/>
      <c r="T1652" s="633"/>
      <c r="U1652" s="634"/>
    </row>
    <row r="1653" spans="2:26" ht="19.149999999999999" customHeight="1">
      <c r="B1653" s="606" t="s">
        <v>169</v>
      </c>
      <c r="C1653" s="654">
        <v>2</v>
      </c>
      <c r="D1653" s="607">
        <v>427</v>
      </c>
      <c r="E1653" s="608">
        <v>933000</v>
      </c>
      <c r="F1653" s="609" t="s">
        <v>1439</v>
      </c>
      <c r="G1653" s="610"/>
      <c r="H1653" s="610"/>
      <c r="I1653" s="611" t="s">
        <v>175</v>
      </c>
      <c r="J1653" s="616">
        <v>230</v>
      </c>
      <c r="K1653" s="613">
        <v>230</v>
      </c>
      <c r="L1653" s="616">
        <v>230</v>
      </c>
      <c r="M1653" s="616">
        <v>240</v>
      </c>
      <c r="N1653" s="614">
        <v>249.4042</v>
      </c>
      <c r="O1653" s="648"/>
      <c r="P1653" s="648"/>
      <c r="R1653" s="626"/>
      <c r="T1653" s="633"/>
      <c r="U1653" s="634"/>
    </row>
    <row r="1654" spans="2:26" ht="19.149999999999999" customHeight="1">
      <c r="B1654" s="606" t="s">
        <v>169</v>
      </c>
      <c r="C1654" s="654">
        <v>2</v>
      </c>
      <c r="D1654" s="607">
        <v>429</v>
      </c>
      <c r="E1654" s="608">
        <v>933000</v>
      </c>
      <c r="F1654" s="609" t="s">
        <v>1090</v>
      </c>
      <c r="G1654" s="610"/>
      <c r="H1654" s="610"/>
      <c r="I1654" s="611" t="s">
        <v>175</v>
      </c>
      <c r="J1654" s="616">
        <v>200</v>
      </c>
      <c r="K1654" s="613">
        <v>200</v>
      </c>
      <c r="L1654" s="616">
        <v>200</v>
      </c>
      <c r="M1654" s="616">
        <v>200</v>
      </c>
      <c r="N1654" s="614">
        <v>200</v>
      </c>
      <c r="O1654" s="648"/>
      <c r="P1654" s="648"/>
      <c r="R1654" s="626"/>
      <c r="T1654" s="633"/>
      <c r="U1654" s="634"/>
    </row>
    <row r="1655" spans="2:26" ht="19.149999999999999" customHeight="1">
      <c r="B1655" s="606" t="s">
        <v>169</v>
      </c>
      <c r="C1655" s="654">
        <v>7</v>
      </c>
      <c r="D1655" s="607">
        <v>432</v>
      </c>
      <c r="E1655" s="608">
        <v>933000</v>
      </c>
      <c r="F1655" s="609" t="s">
        <v>298</v>
      </c>
      <c r="G1655" s="610"/>
      <c r="H1655" s="610"/>
      <c r="I1655" s="611" t="s">
        <v>175</v>
      </c>
      <c r="J1655" s="616">
        <v>600</v>
      </c>
      <c r="K1655" s="613">
        <v>550</v>
      </c>
      <c r="L1655" s="616">
        <v>670</v>
      </c>
      <c r="M1655" s="616">
        <v>670</v>
      </c>
      <c r="N1655" s="614">
        <v>576.76290000000006</v>
      </c>
      <c r="O1655" s="648"/>
      <c r="P1655" s="648"/>
      <c r="R1655" s="626"/>
      <c r="T1655" s="633"/>
      <c r="U1655" s="634"/>
      <c r="Z1655" s="216"/>
    </row>
    <row r="1656" spans="2:26" ht="19.149999999999999" customHeight="1">
      <c r="B1656" s="606" t="s">
        <v>169</v>
      </c>
      <c r="C1656" s="654">
        <v>10</v>
      </c>
      <c r="D1656" s="607">
        <v>540</v>
      </c>
      <c r="E1656" s="608">
        <v>933000</v>
      </c>
      <c r="F1656" s="609" t="s">
        <v>1649</v>
      </c>
      <c r="G1656" s="610"/>
      <c r="H1656" s="610"/>
      <c r="I1656" s="611" t="s">
        <v>175</v>
      </c>
      <c r="J1656" s="616">
        <v>2</v>
      </c>
      <c r="K1656" s="613">
        <v>2</v>
      </c>
      <c r="L1656" s="616">
        <v>2</v>
      </c>
      <c r="M1656" s="616">
        <v>2</v>
      </c>
      <c r="N1656" s="614">
        <v>0.57799999999999996</v>
      </c>
      <c r="O1656" s="648"/>
      <c r="P1656" s="648"/>
      <c r="R1656" s="626"/>
      <c r="T1656" s="633"/>
      <c r="U1656" s="634"/>
    </row>
    <row r="1657" spans="2:26" ht="19.149999999999999" customHeight="1">
      <c r="B1657" s="606" t="s">
        <v>169</v>
      </c>
      <c r="C1657" s="654">
        <v>10</v>
      </c>
      <c r="D1657" s="607">
        <v>570</v>
      </c>
      <c r="E1657" s="608">
        <v>933000</v>
      </c>
      <c r="F1657" s="609" t="s">
        <v>608</v>
      </c>
      <c r="G1657" s="610"/>
      <c r="H1657" s="610"/>
      <c r="I1657" s="611" t="s">
        <v>175</v>
      </c>
      <c r="J1657" s="616">
        <v>21</v>
      </c>
      <c r="K1657" s="613">
        <v>21</v>
      </c>
      <c r="L1657" s="616">
        <v>23</v>
      </c>
      <c r="M1657" s="616">
        <v>23</v>
      </c>
      <c r="N1657" s="614">
        <v>20.794</v>
      </c>
      <c r="O1657" s="648"/>
      <c r="P1657" s="648"/>
      <c r="R1657" s="626"/>
      <c r="T1657" s="633"/>
      <c r="U1657" s="634"/>
    </row>
    <row r="1658" spans="2:26" ht="19.149999999999999" customHeight="1">
      <c r="B1658" s="606" t="s">
        <v>169</v>
      </c>
      <c r="C1658" s="655">
        <v>2</v>
      </c>
      <c r="D1658" s="615">
        <v>571</v>
      </c>
      <c r="E1658" s="608">
        <v>933000</v>
      </c>
      <c r="F1658" s="703" t="s">
        <v>1630</v>
      </c>
      <c r="G1658" s="610"/>
      <c r="H1658" s="610"/>
      <c r="I1658" s="611" t="s">
        <v>175</v>
      </c>
      <c r="J1658" s="616">
        <v>450</v>
      </c>
      <c r="K1658" s="613">
        <v>438</v>
      </c>
      <c r="L1658" s="616">
        <v>438</v>
      </c>
      <c r="M1658" s="616">
        <v>450</v>
      </c>
      <c r="N1658" s="614">
        <v>449.40800000000002</v>
      </c>
      <c r="O1658" s="648"/>
      <c r="P1658" s="648"/>
      <c r="R1658" s="626"/>
      <c r="T1658" s="633"/>
      <c r="U1658" s="634"/>
    </row>
    <row r="1659" spans="2:26" ht="19.149999999999999" customHeight="1">
      <c r="B1659" s="606" t="s">
        <v>169</v>
      </c>
      <c r="C1659" s="654">
        <v>2</v>
      </c>
      <c r="D1659" s="607">
        <v>755</v>
      </c>
      <c r="E1659" s="608">
        <v>933000</v>
      </c>
      <c r="F1659" s="609" t="s">
        <v>133</v>
      </c>
      <c r="G1659" s="610"/>
      <c r="H1659" s="610"/>
      <c r="I1659" s="611" t="s">
        <v>44</v>
      </c>
      <c r="J1659" s="616">
        <v>0</v>
      </c>
      <c r="K1659" s="613">
        <v>0</v>
      </c>
      <c r="L1659" s="616">
        <v>0</v>
      </c>
      <c r="M1659" s="616">
        <v>0</v>
      </c>
      <c r="N1659" s="614">
        <v>61.139150000000001</v>
      </c>
      <c r="O1659" s="648"/>
      <c r="P1659" s="648"/>
      <c r="R1659" s="626"/>
      <c r="T1659" s="633"/>
      <c r="U1659" s="634"/>
    </row>
    <row r="1660" spans="2:26" ht="19.149999999999999" customHeight="1">
      <c r="B1660" s="606" t="s">
        <v>169</v>
      </c>
      <c r="C1660" s="654">
        <v>2</v>
      </c>
      <c r="D1660" s="607">
        <v>780</v>
      </c>
      <c r="E1660" s="608">
        <v>933000</v>
      </c>
      <c r="F1660" s="609" t="s">
        <v>1600</v>
      </c>
      <c r="G1660" s="610"/>
      <c r="H1660" s="610"/>
      <c r="I1660" s="611" t="s">
        <v>44</v>
      </c>
      <c r="J1660" s="616">
        <v>347</v>
      </c>
      <c r="K1660" s="613">
        <v>365</v>
      </c>
      <c r="L1660" s="616">
        <v>365</v>
      </c>
      <c r="M1660" s="616">
        <v>365</v>
      </c>
      <c r="N1660" s="614">
        <v>309.2407</v>
      </c>
      <c r="O1660" s="648"/>
      <c r="P1660" s="648"/>
      <c r="R1660" s="626"/>
      <c r="T1660" s="633"/>
      <c r="U1660" s="634"/>
    </row>
    <row r="1661" spans="2:26" ht="19.149999999999999" customHeight="1">
      <c r="B1661" s="606" t="s">
        <v>169</v>
      </c>
      <c r="C1661" s="654">
        <v>2</v>
      </c>
      <c r="D1661" s="607">
        <v>781</v>
      </c>
      <c r="E1661" s="608">
        <v>933000</v>
      </c>
      <c r="F1661" s="609" t="s">
        <v>1601</v>
      </c>
      <c r="G1661" s="610"/>
      <c r="H1661" s="610"/>
      <c r="I1661" s="611" t="s">
        <v>175</v>
      </c>
      <c r="J1661" s="616">
        <v>280</v>
      </c>
      <c r="K1661" s="613">
        <v>260</v>
      </c>
      <c r="L1661" s="616">
        <v>280</v>
      </c>
      <c r="M1661" s="616">
        <v>280</v>
      </c>
      <c r="N1661" s="614">
        <v>256.40499999999997</v>
      </c>
      <c r="O1661" s="648"/>
      <c r="P1661" s="648"/>
      <c r="R1661" s="626"/>
      <c r="T1661" s="633"/>
      <c r="U1661" s="634"/>
    </row>
    <row r="1662" spans="2:26" ht="19.149999999999999" customHeight="1">
      <c r="B1662" s="606" t="s">
        <v>169</v>
      </c>
      <c r="C1662" s="655">
        <v>3</v>
      </c>
      <c r="D1662" s="615">
        <v>782</v>
      </c>
      <c r="E1662" s="608">
        <v>933000</v>
      </c>
      <c r="F1662" s="703" t="s">
        <v>1751</v>
      </c>
      <c r="G1662" s="610"/>
      <c r="H1662" s="610"/>
      <c r="I1662" s="611" t="s">
        <v>44</v>
      </c>
      <c r="J1662" s="616">
        <v>57</v>
      </c>
      <c r="K1662" s="613">
        <v>0</v>
      </c>
      <c r="L1662" s="616">
        <v>0</v>
      </c>
      <c r="M1662" s="616">
        <v>60</v>
      </c>
      <c r="N1662" s="614">
        <v>33.218000000000004</v>
      </c>
      <c r="O1662" s="648"/>
      <c r="P1662" s="648"/>
      <c r="R1662" s="626"/>
      <c r="T1662" s="633"/>
      <c r="U1662" s="634"/>
    </row>
    <row r="1663" spans="2:26" ht="14">
      <c r="B1663" s="617"/>
      <c r="C1663" s="656"/>
      <c r="D1663" s="618"/>
      <c r="E1663" s="619" t="s">
        <v>807</v>
      </c>
      <c r="F1663" s="620" t="s">
        <v>1152</v>
      </c>
      <c r="G1663" s="621">
        <f>SUM(G1650:G1662)</f>
        <v>7.5</v>
      </c>
      <c r="H1663" s="621">
        <f>SUM(H1650:H1662)</f>
        <v>7.5</v>
      </c>
      <c r="I1663" s="622"/>
      <c r="J1663" s="623">
        <f>SUM(J1650:J1662)</f>
        <v>4142</v>
      </c>
      <c r="K1663" s="624">
        <f>SUM(K1650:K1662)</f>
        <v>3881</v>
      </c>
      <c r="L1663" s="623">
        <f>SUM(L1650:L1662)</f>
        <v>4186</v>
      </c>
      <c r="M1663" s="623">
        <f>SUM(M1650:M1662)</f>
        <v>4329</v>
      </c>
      <c r="N1663" s="625">
        <f>SUM(N1650:N1662)</f>
        <v>3704.4810099999995</v>
      </c>
      <c r="O1663" s="648"/>
      <c r="P1663" s="648"/>
      <c r="R1663" s="626"/>
      <c r="T1663" s="633"/>
      <c r="U1663" s="632"/>
    </row>
    <row r="1664" spans="2:26" ht="19.149999999999999" customHeight="1">
      <c r="B1664" s="704"/>
      <c r="C1664" s="684"/>
      <c r="D1664" s="705"/>
      <c r="E1664" s="695" t="s">
        <v>582</v>
      </c>
      <c r="F1664" s="687" t="s">
        <v>1168</v>
      </c>
      <c r="G1664" s="706"/>
      <c r="H1664" s="706"/>
      <c r="I1664" s="707"/>
      <c r="J1664" s="690"/>
      <c r="K1664" s="693"/>
      <c r="L1664" s="690"/>
      <c r="M1664" s="690"/>
      <c r="N1664" s="708"/>
      <c r="O1664" s="648"/>
      <c r="P1664" s="648"/>
      <c r="R1664" s="626"/>
      <c r="T1664" s="633"/>
      <c r="U1664" s="632"/>
    </row>
    <row r="1665" spans="2:26" ht="19.149999999999999" customHeight="1">
      <c r="B1665" s="606" t="s">
        <v>1168</v>
      </c>
      <c r="C1665" s="654">
        <v>5</v>
      </c>
      <c r="D1665" s="607">
        <v>420</v>
      </c>
      <c r="E1665" s="608">
        <v>938100</v>
      </c>
      <c r="F1665" s="609" t="s">
        <v>1628</v>
      </c>
      <c r="G1665" s="610"/>
      <c r="H1665" s="610"/>
      <c r="I1665" s="611" t="s">
        <v>44</v>
      </c>
      <c r="J1665" s="616">
        <v>422</v>
      </c>
      <c r="K1665" s="613">
        <v>422</v>
      </c>
      <c r="L1665" s="616">
        <v>422</v>
      </c>
      <c r="M1665" s="616">
        <v>422</v>
      </c>
      <c r="N1665" s="614">
        <v>386.94597999999996</v>
      </c>
      <c r="O1665" s="648"/>
      <c r="P1665" s="648"/>
      <c r="R1665" s="626"/>
      <c r="T1665" s="633"/>
      <c r="U1665" s="634"/>
    </row>
    <row r="1666" spans="2:26" ht="19.149999999999999" customHeight="1">
      <c r="B1666" s="606" t="s">
        <v>1168</v>
      </c>
      <c r="C1666" s="654">
        <v>5</v>
      </c>
      <c r="D1666" s="607">
        <v>422</v>
      </c>
      <c r="E1666" s="608">
        <v>938100</v>
      </c>
      <c r="F1666" s="609" t="s">
        <v>1734</v>
      </c>
      <c r="G1666" s="610"/>
      <c r="H1666" s="610"/>
      <c r="I1666" s="611" t="s">
        <v>44</v>
      </c>
      <c r="J1666" s="616">
        <v>420</v>
      </c>
      <c r="K1666" s="613">
        <v>420</v>
      </c>
      <c r="L1666" s="616">
        <v>420</v>
      </c>
      <c r="M1666" s="616">
        <v>420</v>
      </c>
      <c r="N1666" s="614">
        <v>413.48793999999998</v>
      </c>
      <c r="O1666" s="648"/>
      <c r="P1666" s="648"/>
      <c r="R1666" s="626"/>
      <c r="T1666" s="633"/>
      <c r="U1666" s="634"/>
    </row>
    <row r="1667" spans="2:26" ht="19.149999999999999" customHeight="1">
      <c r="B1667" s="606" t="s">
        <v>1168</v>
      </c>
      <c r="C1667" s="654">
        <v>7</v>
      </c>
      <c r="D1667" s="607">
        <v>430</v>
      </c>
      <c r="E1667" s="608">
        <v>938100</v>
      </c>
      <c r="F1667" s="724" t="s">
        <v>924</v>
      </c>
      <c r="G1667" s="610"/>
      <c r="H1667" s="610"/>
      <c r="I1667" s="611" t="s">
        <v>175</v>
      </c>
      <c r="J1667" s="616">
        <v>1120</v>
      </c>
      <c r="K1667" s="613">
        <v>1070</v>
      </c>
      <c r="L1667" s="616">
        <v>1070</v>
      </c>
      <c r="M1667" s="616">
        <v>1070</v>
      </c>
      <c r="N1667" s="614">
        <v>1187.3104599999999</v>
      </c>
      <c r="O1667" s="648"/>
      <c r="P1667" s="648"/>
      <c r="R1667" s="626"/>
      <c r="T1667" s="633"/>
      <c r="U1667" s="634"/>
      <c r="Z1667" s="216"/>
    </row>
    <row r="1668" spans="2:26" ht="19.149999999999999" customHeight="1">
      <c r="B1668" s="606" t="s">
        <v>1168</v>
      </c>
      <c r="C1668" s="654">
        <v>5</v>
      </c>
      <c r="D1668" s="607">
        <v>433</v>
      </c>
      <c r="E1668" s="608">
        <v>938100</v>
      </c>
      <c r="F1668" s="609" t="s">
        <v>1440</v>
      </c>
      <c r="G1668" s="610"/>
      <c r="H1668" s="610"/>
      <c r="I1668" s="611" t="s">
        <v>175</v>
      </c>
      <c r="J1668" s="616">
        <v>360</v>
      </c>
      <c r="K1668" s="613">
        <v>333</v>
      </c>
      <c r="L1668" s="616">
        <v>333</v>
      </c>
      <c r="M1668" s="616">
        <v>360</v>
      </c>
      <c r="N1668" s="614">
        <v>261.45888000000002</v>
      </c>
      <c r="O1668" s="648"/>
      <c r="P1668" s="648"/>
      <c r="R1668" s="626"/>
      <c r="T1668" s="633"/>
      <c r="U1668" s="634"/>
    </row>
    <row r="1669" spans="2:26" ht="19.149999999999999" customHeight="1">
      <c r="B1669" s="606" t="s">
        <v>1168</v>
      </c>
      <c r="C1669" s="654">
        <v>5</v>
      </c>
      <c r="D1669" s="607">
        <v>511</v>
      </c>
      <c r="E1669" s="608">
        <v>938100</v>
      </c>
      <c r="F1669" s="724" t="s">
        <v>58</v>
      </c>
      <c r="G1669" s="610"/>
      <c r="H1669" s="610"/>
      <c r="I1669" s="611" t="s">
        <v>44</v>
      </c>
      <c r="J1669" s="616">
        <v>70</v>
      </c>
      <c r="K1669" s="613">
        <v>70</v>
      </c>
      <c r="L1669" s="616">
        <v>70</v>
      </c>
      <c r="M1669" s="616">
        <v>70</v>
      </c>
      <c r="N1669" s="614">
        <v>61.740629999999996</v>
      </c>
      <c r="O1669" s="648"/>
      <c r="P1669" s="648"/>
      <c r="R1669" s="626"/>
      <c r="T1669" s="633"/>
      <c r="U1669" s="634"/>
    </row>
    <row r="1670" spans="2:26" ht="28">
      <c r="B1670" s="606" t="s">
        <v>1168</v>
      </c>
      <c r="C1670" s="654">
        <v>10</v>
      </c>
      <c r="D1670" s="607">
        <v>540</v>
      </c>
      <c r="E1670" s="608">
        <v>938100</v>
      </c>
      <c r="F1670" s="609" t="s">
        <v>1652</v>
      </c>
      <c r="G1670" s="610"/>
      <c r="H1670" s="610"/>
      <c r="I1670" s="611" t="s">
        <v>175</v>
      </c>
      <c r="J1670" s="616">
        <v>260</v>
      </c>
      <c r="K1670" s="613">
        <v>260</v>
      </c>
      <c r="L1670" s="616">
        <v>260</v>
      </c>
      <c r="M1670" s="616">
        <v>260</v>
      </c>
      <c r="N1670" s="614">
        <v>247.21725000000001</v>
      </c>
      <c r="O1670" s="648"/>
      <c r="P1670" s="648"/>
      <c r="R1670" s="626"/>
      <c r="T1670" s="633"/>
      <c r="U1670" s="634"/>
    </row>
    <row r="1671" spans="2:26" ht="19.149999999999999" customHeight="1">
      <c r="B1671" s="606" t="s">
        <v>1168</v>
      </c>
      <c r="C1671" s="654">
        <v>10</v>
      </c>
      <c r="D1671" s="607">
        <v>541</v>
      </c>
      <c r="E1671" s="608">
        <v>938100</v>
      </c>
      <c r="F1671" s="609" t="s">
        <v>2078</v>
      </c>
      <c r="G1671" s="610"/>
      <c r="H1671" s="610"/>
      <c r="I1671" s="611" t="s">
        <v>175</v>
      </c>
      <c r="J1671" s="616">
        <v>120</v>
      </c>
      <c r="K1671" s="613">
        <v>120</v>
      </c>
      <c r="L1671" s="616">
        <v>120</v>
      </c>
      <c r="M1671" s="616">
        <v>120</v>
      </c>
      <c r="N1671" s="614">
        <v>614.58172999999999</v>
      </c>
      <c r="O1671" s="648"/>
      <c r="P1671" s="648"/>
      <c r="R1671" s="626"/>
      <c r="T1671" s="633"/>
      <c r="U1671" s="634"/>
    </row>
    <row r="1672" spans="2:26" ht="19.149999999999999" customHeight="1">
      <c r="B1672" s="606" t="s">
        <v>1168</v>
      </c>
      <c r="C1672" s="654">
        <v>10</v>
      </c>
      <c r="D1672" s="607">
        <v>542</v>
      </c>
      <c r="E1672" s="608">
        <v>938100</v>
      </c>
      <c r="F1672" s="609" t="s">
        <v>1637</v>
      </c>
      <c r="G1672" s="610"/>
      <c r="H1672" s="610"/>
      <c r="I1672" s="611" t="s">
        <v>175</v>
      </c>
      <c r="J1672" s="616">
        <v>518</v>
      </c>
      <c r="K1672" s="613">
        <v>518</v>
      </c>
      <c r="L1672" s="616">
        <v>518</v>
      </c>
      <c r="M1672" s="616">
        <v>688</v>
      </c>
      <c r="N1672" s="614">
        <v>482.26704999999998</v>
      </c>
      <c r="O1672" s="648"/>
      <c r="P1672" s="648"/>
      <c r="R1672" s="626"/>
      <c r="T1672" s="633"/>
      <c r="U1672" s="634"/>
    </row>
    <row r="1673" spans="2:26" ht="19.149999999999999" customHeight="1">
      <c r="B1673" s="606" t="s">
        <v>1168</v>
      </c>
      <c r="C1673" s="654">
        <v>1</v>
      </c>
      <c r="D1673" s="607">
        <v>543</v>
      </c>
      <c r="E1673" s="608">
        <v>938100</v>
      </c>
      <c r="F1673" s="609" t="s">
        <v>1540</v>
      </c>
      <c r="G1673" s="610"/>
      <c r="H1673" s="610"/>
      <c r="I1673" s="611" t="s">
        <v>175</v>
      </c>
      <c r="J1673" s="616">
        <v>650</v>
      </c>
      <c r="K1673" s="613">
        <v>550</v>
      </c>
      <c r="L1673" s="616">
        <v>800</v>
      </c>
      <c r="M1673" s="616">
        <v>800</v>
      </c>
      <c r="N1673" s="614">
        <v>477.65190999999999</v>
      </c>
      <c r="O1673" s="648"/>
      <c r="P1673" s="648"/>
      <c r="R1673" s="626"/>
      <c r="T1673" s="633"/>
      <c r="U1673" s="634"/>
    </row>
    <row r="1674" spans="2:26" ht="19.149999999999999" customHeight="1">
      <c r="B1674" s="606" t="s">
        <v>1168</v>
      </c>
      <c r="C1674" s="655">
        <v>12</v>
      </c>
      <c r="D1674" s="615">
        <v>550</v>
      </c>
      <c r="E1674" s="608">
        <v>938100</v>
      </c>
      <c r="F1674" s="609" t="s">
        <v>2197</v>
      </c>
      <c r="G1674" s="610"/>
      <c r="H1674" s="610"/>
      <c r="I1674" s="611" t="s">
        <v>44</v>
      </c>
      <c r="J1674" s="616">
        <v>143</v>
      </c>
      <c r="K1674" s="613">
        <v>60</v>
      </c>
      <c r="L1674" s="616">
        <v>204</v>
      </c>
      <c r="M1674" s="616">
        <v>288</v>
      </c>
      <c r="N1674" s="614">
        <v>218.67400000000001</v>
      </c>
      <c r="O1674" s="648"/>
      <c r="P1674" s="648"/>
      <c r="R1674" s="626"/>
      <c r="T1674" s="633"/>
      <c r="U1674" s="634"/>
    </row>
    <row r="1675" spans="2:26" ht="19.149999999999999" customHeight="1">
      <c r="B1675" s="606" t="s">
        <v>1168</v>
      </c>
      <c r="C1675" s="654">
        <v>10</v>
      </c>
      <c r="D1675" s="607">
        <v>746</v>
      </c>
      <c r="E1675" s="608">
        <v>938100</v>
      </c>
      <c r="F1675" s="609" t="s">
        <v>1740</v>
      </c>
      <c r="G1675" s="610"/>
      <c r="H1675" s="610"/>
      <c r="I1675" s="611" t="s">
        <v>175</v>
      </c>
      <c r="J1675" s="616">
        <v>227</v>
      </c>
      <c r="K1675" s="613">
        <v>227</v>
      </c>
      <c r="L1675" s="616">
        <v>200</v>
      </c>
      <c r="M1675" s="616">
        <v>200</v>
      </c>
      <c r="N1675" s="614">
        <v>164.96567999999999</v>
      </c>
      <c r="O1675" s="648"/>
      <c r="P1675" s="648"/>
      <c r="R1675" s="626"/>
      <c r="T1675" s="633"/>
      <c r="U1675" s="634"/>
    </row>
    <row r="1676" spans="2:26" ht="19.149999999999999" customHeight="1">
      <c r="B1676" s="606" t="s">
        <v>1168</v>
      </c>
      <c r="C1676" s="654">
        <v>5</v>
      </c>
      <c r="D1676" s="607">
        <v>747</v>
      </c>
      <c r="E1676" s="608">
        <v>938100</v>
      </c>
      <c r="F1676" s="703" t="s">
        <v>109</v>
      </c>
      <c r="G1676" s="610"/>
      <c r="H1676" s="610"/>
      <c r="I1676" s="611" t="s">
        <v>44</v>
      </c>
      <c r="J1676" s="616">
        <v>12</v>
      </c>
      <c r="K1676" s="613">
        <v>12</v>
      </c>
      <c r="L1676" s="616">
        <v>12</v>
      </c>
      <c r="M1676" s="616">
        <v>12</v>
      </c>
      <c r="N1676" s="614">
        <v>2.7822600000000004</v>
      </c>
      <c r="O1676" s="648"/>
      <c r="P1676" s="648"/>
      <c r="R1676" s="626"/>
      <c r="T1676" s="633"/>
      <c r="U1676" s="634"/>
    </row>
    <row r="1677" spans="2:26" ht="19.149999999999999" customHeight="1">
      <c r="B1677" s="606" t="s">
        <v>1168</v>
      </c>
      <c r="C1677" s="654">
        <v>5</v>
      </c>
      <c r="D1677" s="607">
        <v>748</v>
      </c>
      <c r="E1677" s="608">
        <v>938100</v>
      </c>
      <c r="F1677" s="609" t="s">
        <v>896</v>
      </c>
      <c r="G1677" s="610"/>
      <c r="H1677" s="610"/>
      <c r="I1677" s="611" t="s">
        <v>175</v>
      </c>
      <c r="J1677" s="616">
        <v>152</v>
      </c>
      <c r="K1677" s="613">
        <v>180</v>
      </c>
      <c r="L1677" s="616">
        <v>180</v>
      </c>
      <c r="M1677" s="616">
        <v>135</v>
      </c>
      <c r="N1677" s="614">
        <v>127.46988999999999</v>
      </c>
      <c r="O1677" s="648"/>
      <c r="P1677" s="648"/>
      <c r="R1677" s="626"/>
      <c r="T1677" s="633"/>
      <c r="U1677" s="634"/>
    </row>
    <row r="1678" spans="2:26" ht="19.149999999999999" customHeight="1">
      <c r="B1678" s="606" t="s">
        <v>1168</v>
      </c>
      <c r="C1678" s="654">
        <v>5</v>
      </c>
      <c r="D1678" s="607">
        <v>749</v>
      </c>
      <c r="E1678" s="608">
        <v>938100</v>
      </c>
      <c r="F1678" s="609" t="s">
        <v>1731</v>
      </c>
      <c r="G1678" s="610"/>
      <c r="H1678" s="610"/>
      <c r="I1678" s="611" t="s">
        <v>175</v>
      </c>
      <c r="J1678" s="616">
        <v>20</v>
      </c>
      <c r="K1678" s="613">
        <v>20</v>
      </c>
      <c r="L1678" s="616">
        <v>20</v>
      </c>
      <c r="M1678" s="616">
        <v>20</v>
      </c>
      <c r="N1678" s="614">
        <v>19.913049999999998</v>
      </c>
      <c r="O1678" s="648"/>
      <c r="P1678" s="648"/>
      <c r="R1678" s="626"/>
      <c r="T1678" s="633"/>
      <c r="U1678" s="634"/>
    </row>
    <row r="1679" spans="2:26" ht="19.149999999999999" customHeight="1">
      <c r="B1679" s="606" t="s">
        <v>1168</v>
      </c>
      <c r="C1679" s="654">
        <v>5</v>
      </c>
      <c r="D1679" s="607">
        <v>750</v>
      </c>
      <c r="E1679" s="608">
        <v>938100</v>
      </c>
      <c r="F1679" s="609" t="s">
        <v>906</v>
      </c>
      <c r="G1679" s="610"/>
      <c r="H1679" s="610"/>
      <c r="I1679" s="611" t="s">
        <v>175</v>
      </c>
      <c r="J1679" s="616">
        <v>1700</v>
      </c>
      <c r="K1679" s="613">
        <v>1700</v>
      </c>
      <c r="L1679" s="616">
        <v>1700</v>
      </c>
      <c r="M1679" s="616">
        <v>1700</v>
      </c>
      <c r="N1679" s="614">
        <v>1633.51956</v>
      </c>
      <c r="O1679" s="648"/>
      <c r="P1679" s="648"/>
      <c r="R1679" s="626"/>
      <c r="T1679" s="633"/>
      <c r="U1679" s="634"/>
    </row>
    <row r="1680" spans="2:26" ht="19.149999999999999" customHeight="1">
      <c r="B1680" s="606" t="s">
        <v>1168</v>
      </c>
      <c r="C1680" s="655">
        <v>5</v>
      </c>
      <c r="D1680" s="615">
        <v>751</v>
      </c>
      <c r="E1680" s="608">
        <v>938100</v>
      </c>
      <c r="F1680" s="609" t="s">
        <v>132</v>
      </c>
      <c r="G1680" s="610"/>
      <c r="H1680" s="610"/>
      <c r="I1680" s="611" t="s">
        <v>44</v>
      </c>
      <c r="J1680" s="616">
        <v>336</v>
      </c>
      <c r="K1680" s="613">
        <v>306</v>
      </c>
      <c r="L1680" s="616">
        <v>306</v>
      </c>
      <c r="M1680" s="616">
        <v>336</v>
      </c>
      <c r="N1680" s="614">
        <v>335.94400000000002</v>
      </c>
      <c r="O1680" s="648"/>
      <c r="P1680" s="648"/>
      <c r="R1680" s="626"/>
      <c r="T1680" s="633"/>
      <c r="U1680" s="634"/>
    </row>
    <row r="1681" spans="2:21" ht="19.149999999999999" customHeight="1">
      <c r="B1681" s="606" t="s">
        <v>1168</v>
      </c>
      <c r="C1681" s="654">
        <v>5</v>
      </c>
      <c r="D1681" s="607">
        <v>752</v>
      </c>
      <c r="E1681" s="608">
        <v>938100</v>
      </c>
      <c r="F1681" s="609" t="s">
        <v>1735</v>
      </c>
      <c r="G1681" s="610"/>
      <c r="H1681" s="610"/>
      <c r="I1681" s="611" t="s">
        <v>175</v>
      </c>
      <c r="J1681" s="616">
        <v>140</v>
      </c>
      <c r="K1681" s="613">
        <v>140</v>
      </c>
      <c r="L1681" s="616">
        <v>140</v>
      </c>
      <c r="M1681" s="616">
        <v>140</v>
      </c>
      <c r="N1681" s="614">
        <v>125.58022</v>
      </c>
      <c r="O1681" s="648"/>
      <c r="P1681" s="648"/>
      <c r="R1681" s="626"/>
      <c r="T1681" s="633"/>
      <c r="U1681" s="634"/>
    </row>
    <row r="1682" spans="2:21" ht="19.149999999999999" customHeight="1">
      <c r="B1682" s="606" t="s">
        <v>1168</v>
      </c>
      <c r="C1682" s="654">
        <v>5</v>
      </c>
      <c r="D1682" s="607">
        <v>780</v>
      </c>
      <c r="E1682" s="608">
        <v>938100</v>
      </c>
      <c r="F1682" s="609" t="s">
        <v>135</v>
      </c>
      <c r="G1682" s="610"/>
      <c r="H1682" s="610"/>
      <c r="I1682" s="611" t="s">
        <v>44</v>
      </c>
      <c r="J1682" s="616">
        <v>59</v>
      </c>
      <c r="K1682" s="613">
        <v>59</v>
      </c>
      <c r="L1682" s="616">
        <v>59</v>
      </c>
      <c r="M1682" s="616">
        <v>59</v>
      </c>
      <c r="N1682" s="614">
        <v>49.176859999999998</v>
      </c>
      <c r="O1682" s="648"/>
      <c r="P1682" s="648"/>
      <c r="R1682" s="626"/>
      <c r="T1682" s="633"/>
      <c r="U1682" s="634"/>
    </row>
    <row r="1683" spans="2:21" ht="19.149999999999999" customHeight="1">
      <c r="B1683" s="606" t="s">
        <v>1168</v>
      </c>
      <c r="C1683" s="654">
        <v>5</v>
      </c>
      <c r="D1683" s="607">
        <v>781</v>
      </c>
      <c r="E1683" s="608">
        <v>938100</v>
      </c>
      <c r="F1683" s="609" t="s">
        <v>1297</v>
      </c>
      <c r="G1683" s="610"/>
      <c r="H1683" s="610"/>
      <c r="I1683" s="611" t="s">
        <v>44</v>
      </c>
      <c r="J1683" s="616">
        <v>36</v>
      </c>
      <c r="K1683" s="613">
        <v>36</v>
      </c>
      <c r="L1683" s="616">
        <v>36</v>
      </c>
      <c r="M1683" s="616">
        <v>36</v>
      </c>
      <c r="N1683" s="614">
        <v>27.51484</v>
      </c>
      <c r="O1683" s="648"/>
      <c r="P1683" s="648"/>
      <c r="R1683" s="626"/>
      <c r="T1683" s="633"/>
      <c r="U1683" s="634"/>
    </row>
    <row r="1684" spans="2:21" ht="19.149999999999999" customHeight="1">
      <c r="B1684" s="606" t="s">
        <v>1168</v>
      </c>
      <c r="C1684" s="654">
        <v>2</v>
      </c>
      <c r="D1684" s="607">
        <v>782</v>
      </c>
      <c r="E1684" s="608">
        <v>938100</v>
      </c>
      <c r="F1684" s="609" t="s">
        <v>1732</v>
      </c>
      <c r="G1684" s="610"/>
      <c r="H1684" s="610"/>
      <c r="I1684" s="611" t="s">
        <v>175</v>
      </c>
      <c r="J1684" s="616">
        <v>740</v>
      </c>
      <c r="K1684" s="613">
        <v>590</v>
      </c>
      <c r="L1684" s="616">
        <v>545</v>
      </c>
      <c r="M1684" s="616">
        <v>545</v>
      </c>
      <c r="N1684" s="614">
        <v>542.97199999999998</v>
      </c>
      <c r="O1684" s="648"/>
      <c r="P1684" s="648"/>
      <c r="R1684" s="626"/>
      <c r="T1684" s="633"/>
      <c r="U1684" s="634"/>
    </row>
    <row r="1685" spans="2:21" ht="19.149999999999999" customHeight="1">
      <c r="B1685" s="606" t="s">
        <v>1168</v>
      </c>
      <c r="C1685" s="655">
        <v>5</v>
      </c>
      <c r="D1685" s="615">
        <v>930</v>
      </c>
      <c r="E1685" s="608">
        <v>938100</v>
      </c>
      <c r="F1685" s="609" t="s">
        <v>1146</v>
      </c>
      <c r="G1685" s="610"/>
      <c r="H1685" s="610"/>
      <c r="I1685" s="611" t="s">
        <v>175</v>
      </c>
      <c r="J1685" s="616">
        <v>10</v>
      </c>
      <c r="K1685" s="613">
        <v>11</v>
      </c>
      <c r="L1685" s="616">
        <v>11</v>
      </c>
      <c r="M1685" s="616">
        <v>100</v>
      </c>
      <c r="N1685" s="614">
        <v>196.93307000000001</v>
      </c>
      <c r="O1685" s="648"/>
      <c r="P1685" s="648"/>
      <c r="R1685" s="626"/>
      <c r="T1685" s="633"/>
      <c r="U1685" s="634"/>
    </row>
    <row r="1686" spans="2:21" ht="19.149999999999999" customHeight="1">
      <c r="B1686" s="617"/>
      <c r="C1686" s="656"/>
      <c r="D1686" s="618"/>
      <c r="E1686" s="619" t="s">
        <v>582</v>
      </c>
      <c r="F1686" s="620" t="s">
        <v>408</v>
      </c>
      <c r="G1686" s="621">
        <f>SUM(G1665:G1685)</f>
        <v>0</v>
      </c>
      <c r="H1686" s="621">
        <f>SUM(H1665:H1685)</f>
        <v>0</v>
      </c>
      <c r="I1686" s="622"/>
      <c r="J1686" s="623">
        <f>SUM(J1665:J1685)</f>
        <v>7515</v>
      </c>
      <c r="K1686" s="624">
        <f>SUM(K1665:K1685)</f>
        <v>7104</v>
      </c>
      <c r="L1686" s="623">
        <f>SUM(L1665:L1685)</f>
        <v>7426</v>
      </c>
      <c r="M1686" s="623">
        <f>SUM(M1665:M1685)</f>
        <v>7781</v>
      </c>
      <c r="N1686" s="625">
        <f>SUM(N1665:N1685)</f>
        <v>7578.1072599999989</v>
      </c>
      <c r="O1686" s="648"/>
      <c r="P1686" s="648"/>
      <c r="R1686" s="626"/>
      <c r="T1686" s="633"/>
      <c r="U1686" s="632"/>
    </row>
    <row r="1687" spans="2:21" ht="19.149999999999999" customHeight="1">
      <c r="B1687" s="704"/>
      <c r="C1687" s="684"/>
      <c r="D1687" s="705"/>
      <c r="E1687" s="695" t="s">
        <v>409</v>
      </c>
      <c r="F1687" s="687" t="s">
        <v>410</v>
      </c>
      <c r="G1687" s="706"/>
      <c r="H1687" s="706"/>
      <c r="I1687" s="707"/>
      <c r="J1687" s="690"/>
      <c r="K1687" s="693"/>
      <c r="L1687" s="690"/>
      <c r="M1687" s="690"/>
      <c r="N1687" s="708"/>
      <c r="O1687" s="648"/>
      <c r="P1687" s="648"/>
      <c r="R1687" s="626"/>
      <c r="T1687" s="633"/>
      <c r="U1687" s="632"/>
    </row>
    <row r="1688" spans="2:21" ht="19.149999999999999" customHeight="1">
      <c r="B1688" s="606" t="s">
        <v>411</v>
      </c>
      <c r="C1688" s="654">
        <v>12</v>
      </c>
      <c r="D1688" s="607">
        <v>100</v>
      </c>
      <c r="E1688" s="608">
        <v>938200</v>
      </c>
      <c r="F1688" s="609" t="s">
        <v>1058</v>
      </c>
      <c r="G1688" s="610">
        <v>0</v>
      </c>
      <c r="H1688" s="610">
        <v>0</v>
      </c>
      <c r="I1688" s="611" t="s">
        <v>669</v>
      </c>
      <c r="J1688" s="616">
        <v>0</v>
      </c>
      <c r="K1688" s="613">
        <v>0</v>
      </c>
      <c r="L1688" s="616">
        <v>0</v>
      </c>
      <c r="M1688" s="616">
        <v>0</v>
      </c>
      <c r="N1688" s="614">
        <v>94.336250000000007</v>
      </c>
      <c r="O1688" s="648"/>
      <c r="P1688" s="648"/>
      <c r="R1688" s="626"/>
      <c r="T1688" s="633"/>
      <c r="U1688" s="634"/>
    </row>
    <row r="1689" spans="2:21" ht="19.149999999999999" customHeight="1">
      <c r="B1689" s="606" t="s">
        <v>411</v>
      </c>
      <c r="C1689" s="654">
        <v>10</v>
      </c>
      <c r="D1689" s="607">
        <v>540</v>
      </c>
      <c r="E1689" s="608">
        <v>938200</v>
      </c>
      <c r="F1689" s="609" t="s">
        <v>1648</v>
      </c>
      <c r="G1689" s="610"/>
      <c r="H1689" s="610"/>
      <c r="I1689" s="611" t="s">
        <v>175</v>
      </c>
      <c r="J1689" s="616">
        <v>0</v>
      </c>
      <c r="K1689" s="613">
        <v>3</v>
      </c>
      <c r="L1689" s="616">
        <v>3</v>
      </c>
      <c r="M1689" s="616">
        <v>3</v>
      </c>
      <c r="N1689" s="614">
        <f>2.41644+1.45802</f>
        <v>3.87446</v>
      </c>
      <c r="O1689" s="648"/>
      <c r="P1689" s="648"/>
      <c r="R1689" s="626"/>
      <c r="T1689" s="633"/>
      <c r="U1689" s="634"/>
    </row>
    <row r="1690" spans="2:21" ht="19.149999999999999" customHeight="1">
      <c r="B1690" s="606" t="s">
        <v>411</v>
      </c>
      <c r="C1690" s="655">
        <v>5</v>
      </c>
      <c r="D1690" s="615">
        <v>742</v>
      </c>
      <c r="E1690" s="608">
        <v>938200</v>
      </c>
      <c r="F1690" s="710" t="s">
        <v>609</v>
      </c>
      <c r="G1690" s="610"/>
      <c r="H1690" s="610"/>
      <c r="I1690" s="611" t="s">
        <v>175</v>
      </c>
      <c r="J1690" s="616">
        <v>0</v>
      </c>
      <c r="K1690" s="613">
        <v>15</v>
      </c>
      <c r="L1690" s="616">
        <v>15</v>
      </c>
      <c r="M1690" s="616">
        <v>30</v>
      </c>
      <c r="N1690" s="614">
        <v>10.243690000000001</v>
      </c>
      <c r="O1690" s="648"/>
      <c r="P1690" s="648"/>
      <c r="R1690" s="626"/>
      <c r="T1690" s="633"/>
      <c r="U1690" s="634"/>
    </row>
    <row r="1691" spans="2:21" ht="19.149999999999999" customHeight="1">
      <c r="B1691" s="606" t="s">
        <v>411</v>
      </c>
      <c r="C1691" s="654">
        <v>12</v>
      </c>
      <c r="D1691" s="607">
        <v>747</v>
      </c>
      <c r="E1691" s="608">
        <v>938200</v>
      </c>
      <c r="F1691" s="609" t="s">
        <v>142</v>
      </c>
      <c r="G1691" s="610"/>
      <c r="H1691" s="610"/>
      <c r="I1691" s="611" t="s">
        <v>44</v>
      </c>
      <c r="J1691" s="616">
        <v>0</v>
      </c>
      <c r="K1691" s="613">
        <v>15</v>
      </c>
      <c r="L1691" s="616">
        <v>15</v>
      </c>
      <c r="M1691" s="616">
        <v>15</v>
      </c>
      <c r="N1691" s="614">
        <v>2.6054200000000001</v>
      </c>
      <c r="O1691" s="648"/>
      <c r="P1691" s="648"/>
      <c r="R1691" s="626"/>
      <c r="T1691" s="633"/>
      <c r="U1691" s="634"/>
    </row>
    <row r="1692" spans="2:21" ht="19.149999999999999" customHeight="1">
      <c r="B1692" s="617"/>
      <c r="C1692" s="656"/>
      <c r="D1692" s="618"/>
      <c r="E1692" s="619" t="s">
        <v>409</v>
      </c>
      <c r="F1692" s="620" t="s">
        <v>1083</v>
      </c>
      <c r="G1692" s="621">
        <f>SUM(G1688:G1691)</f>
        <v>0</v>
      </c>
      <c r="H1692" s="621">
        <f>SUM(H1688:H1691)</f>
        <v>0</v>
      </c>
      <c r="I1692" s="622"/>
      <c r="J1692" s="623">
        <f>SUM(J1688:J1691)</f>
        <v>0</v>
      </c>
      <c r="K1692" s="624">
        <f>SUM(K1688:K1691)</f>
        <v>33</v>
      </c>
      <c r="L1692" s="623">
        <f>SUM(L1688:L1691)</f>
        <v>33</v>
      </c>
      <c r="M1692" s="623">
        <f>SUM(M1688:M1691)</f>
        <v>48</v>
      </c>
      <c r="N1692" s="625">
        <f>SUM(N1688:N1691)</f>
        <v>111.05982</v>
      </c>
      <c r="O1692" s="648"/>
      <c r="P1692" s="648"/>
      <c r="R1692" s="626"/>
      <c r="T1692" s="633"/>
      <c r="U1692" s="632"/>
    </row>
    <row r="1693" spans="2:21" ht="19.149999999999999" customHeight="1">
      <c r="B1693" s="704"/>
      <c r="C1693" s="684"/>
      <c r="D1693" s="705"/>
      <c r="E1693" s="695" t="s">
        <v>143</v>
      </c>
      <c r="F1693" s="687" t="s">
        <v>617</v>
      </c>
      <c r="G1693" s="706"/>
      <c r="H1693" s="706"/>
      <c r="I1693" s="707"/>
      <c r="J1693" s="690"/>
      <c r="K1693" s="693"/>
      <c r="L1693" s="690"/>
      <c r="M1693" s="690"/>
      <c r="N1693" s="708"/>
      <c r="O1693" s="648"/>
      <c r="P1693" s="648"/>
      <c r="R1693" s="626"/>
      <c r="T1693" s="633"/>
      <c r="U1693" s="632"/>
    </row>
    <row r="1694" spans="2:21" ht="19.149999999999999" customHeight="1">
      <c r="B1694" s="606" t="s">
        <v>617</v>
      </c>
      <c r="C1694" s="654">
        <v>5</v>
      </c>
      <c r="D1694" s="607">
        <v>100</v>
      </c>
      <c r="E1694" s="608">
        <v>938300</v>
      </c>
      <c r="F1694" s="703" t="s">
        <v>1702</v>
      </c>
      <c r="G1694" s="610">
        <v>12</v>
      </c>
      <c r="H1694" s="610">
        <v>12</v>
      </c>
      <c r="I1694" s="611" t="s">
        <v>669</v>
      </c>
      <c r="J1694" s="616">
        <v>1060</v>
      </c>
      <c r="K1694" s="613">
        <v>988</v>
      </c>
      <c r="L1694" s="616">
        <v>1136</v>
      </c>
      <c r="M1694" s="616">
        <v>1136</v>
      </c>
      <c r="N1694" s="614">
        <v>983.29991000000007</v>
      </c>
      <c r="O1694" s="648"/>
      <c r="P1694" s="648"/>
      <c r="R1694" s="626"/>
      <c r="T1694" s="633"/>
      <c r="U1694" s="634"/>
    </row>
    <row r="1695" spans="2:21" ht="19.149999999999999" customHeight="1">
      <c r="B1695" s="606" t="s">
        <v>617</v>
      </c>
      <c r="C1695" s="654">
        <v>5</v>
      </c>
      <c r="D1695" s="607">
        <v>730</v>
      </c>
      <c r="E1695" s="608">
        <v>938300</v>
      </c>
      <c r="F1695" s="703" t="s">
        <v>869</v>
      </c>
      <c r="G1695" s="610"/>
      <c r="H1695" s="610"/>
      <c r="I1695" s="611" t="s">
        <v>175</v>
      </c>
      <c r="J1695" s="616">
        <v>145</v>
      </c>
      <c r="K1695" s="613">
        <v>145</v>
      </c>
      <c r="L1695" s="616">
        <v>145</v>
      </c>
      <c r="M1695" s="616">
        <v>145</v>
      </c>
      <c r="N1695" s="614">
        <v>114.11924999999999</v>
      </c>
      <c r="O1695" s="648"/>
      <c r="P1695" s="648"/>
      <c r="R1695" s="626"/>
      <c r="T1695" s="633"/>
      <c r="U1695" s="634"/>
    </row>
    <row r="1696" spans="2:21" ht="19.149999999999999" customHeight="1">
      <c r="B1696" s="606" t="s">
        <v>617</v>
      </c>
      <c r="C1696" s="654">
        <v>5</v>
      </c>
      <c r="D1696" s="607">
        <v>740</v>
      </c>
      <c r="E1696" s="608">
        <v>938300</v>
      </c>
      <c r="F1696" s="609" t="s">
        <v>474</v>
      </c>
      <c r="G1696" s="729"/>
      <c r="H1696" s="729"/>
      <c r="I1696" s="730" t="s">
        <v>44</v>
      </c>
      <c r="J1696" s="731">
        <v>8</v>
      </c>
      <c r="K1696" s="732">
        <v>8</v>
      </c>
      <c r="L1696" s="731">
        <v>8</v>
      </c>
      <c r="M1696" s="731">
        <v>8</v>
      </c>
      <c r="N1696" s="614">
        <v>7.0472099999999998</v>
      </c>
      <c r="O1696" s="648"/>
      <c r="P1696" s="648"/>
      <c r="R1696" s="626"/>
      <c r="T1696" s="633"/>
      <c r="U1696" s="636"/>
    </row>
    <row r="1697" spans="2:21" ht="19.149999999999999" customHeight="1">
      <c r="B1697" s="606" t="s">
        <v>617</v>
      </c>
      <c r="C1697" s="655">
        <v>5</v>
      </c>
      <c r="D1697" s="615">
        <v>755</v>
      </c>
      <c r="E1697" s="608">
        <v>938300</v>
      </c>
      <c r="F1697" s="703" t="s">
        <v>1350</v>
      </c>
      <c r="G1697" s="729"/>
      <c r="H1697" s="729"/>
      <c r="I1697" s="730" t="s">
        <v>44</v>
      </c>
      <c r="J1697" s="731">
        <v>181</v>
      </c>
      <c r="K1697" s="732">
        <v>181</v>
      </c>
      <c r="L1697" s="731">
        <v>181</v>
      </c>
      <c r="M1697" s="731">
        <v>191</v>
      </c>
      <c r="N1697" s="614">
        <v>177.57776999999999</v>
      </c>
      <c r="O1697" s="648"/>
      <c r="P1697" s="648"/>
      <c r="R1697" s="626"/>
      <c r="T1697" s="633"/>
      <c r="U1697" s="636"/>
    </row>
    <row r="1698" spans="2:21" ht="19.149999999999999" customHeight="1">
      <c r="B1698" s="606" t="s">
        <v>617</v>
      </c>
      <c r="C1698" s="654">
        <v>5</v>
      </c>
      <c r="D1698" s="607">
        <v>930</v>
      </c>
      <c r="E1698" s="608">
        <v>938300</v>
      </c>
      <c r="F1698" s="703" t="s">
        <v>119</v>
      </c>
      <c r="G1698" s="729"/>
      <c r="H1698" s="729"/>
      <c r="I1698" s="730" t="s">
        <v>44</v>
      </c>
      <c r="J1698" s="731">
        <f>35-5</f>
        <v>30</v>
      </c>
      <c r="K1698" s="732">
        <v>35</v>
      </c>
      <c r="L1698" s="731">
        <v>35</v>
      </c>
      <c r="M1698" s="731">
        <v>35</v>
      </c>
      <c r="N1698" s="614">
        <v>34.866</v>
      </c>
      <c r="O1698" s="648"/>
      <c r="P1698" s="648"/>
      <c r="R1698" s="626"/>
      <c r="T1698" s="633"/>
      <c r="U1698" s="636"/>
    </row>
    <row r="1699" spans="2:21" ht="19.149999999999999" customHeight="1">
      <c r="B1699" s="617"/>
      <c r="C1699" s="656"/>
      <c r="D1699" s="618"/>
      <c r="E1699" s="619" t="s">
        <v>143</v>
      </c>
      <c r="F1699" s="620" t="s">
        <v>148</v>
      </c>
      <c r="G1699" s="621">
        <f>SUM(G1694:G1698)</f>
        <v>12</v>
      </c>
      <c r="H1699" s="621">
        <f>SUM(H1694:H1698)</f>
        <v>12</v>
      </c>
      <c r="I1699" s="622"/>
      <c r="J1699" s="623">
        <f>SUM(J1694:J1698)</f>
        <v>1424</v>
      </c>
      <c r="K1699" s="624">
        <f>SUM(K1694:K1698)</f>
        <v>1357</v>
      </c>
      <c r="L1699" s="623">
        <f>SUM(L1694:L1698)</f>
        <v>1505</v>
      </c>
      <c r="M1699" s="623">
        <f>SUM(M1694:M1698)</f>
        <v>1515</v>
      </c>
      <c r="N1699" s="625">
        <f>SUM(N1694:N1698)</f>
        <v>1316.91014</v>
      </c>
      <c r="O1699" s="648"/>
      <c r="P1699" s="648"/>
      <c r="R1699" s="626"/>
      <c r="T1699" s="633"/>
      <c r="U1699" s="632"/>
    </row>
    <row r="1700" spans="2:21" ht="19.149999999999999" customHeight="1">
      <c r="B1700" s="704"/>
      <c r="C1700" s="684"/>
      <c r="D1700" s="705"/>
      <c r="E1700" s="695" t="s">
        <v>149</v>
      </c>
      <c r="F1700" s="751" t="s">
        <v>1556</v>
      </c>
      <c r="G1700" s="706"/>
      <c r="H1700" s="706"/>
      <c r="I1700" s="707"/>
      <c r="J1700" s="690"/>
      <c r="K1700" s="693"/>
      <c r="L1700" s="690"/>
      <c r="M1700" s="690"/>
      <c r="N1700" s="708"/>
      <c r="O1700" s="648"/>
      <c r="P1700" s="648"/>
      <c r="R1700" s="626"/>
      <c r="T1700" s="633"/>
      <c r="U1700" s="632"/>
    </row>
    <row r="1701" spans="2:21" ht="19.149999999999999" customHeight="1">
      <c r="B1701" s="606" t="s">
        <v>1555</v>
      </c>
      <c r="C1701" s="655">
        <v>5</v>
      </c>
      <c r="D1701" s="615">
        <v>100</v>
      </c>
      <c r="E1701" s="608">
        <v>938400</v>
      </c>
      <c r="F1701" s="609" t="s">
        <v>1907</v>
      </c>
      <c r="G1701" s="610">
        <v>13.5</v>
      </c>
      <c r="H1701" s="610">
        <v>13.867816666666664</v>
      </c>
      <c r="I1701" s="611" t="s">
        <v>669</v>
      </c>
      <c r="J1701" s="616">
        <v>2800</v>
      </c>
      <c r="K1701" s="613">
        <v>2700</v>
      </c>
      <c r="L1701" s="616">
        <v>2857</v>
      </c>
      <c r="M1701" s="616">
        <v>3119</v>
      </c>
      <c r="N1701" s="614">
        <v>2976.28197</v>
      </c>
      <c r="O1701" s="648"/>
      <c r="P1701" s="648"/>
      <c r="R1701" s="626"/>
      <c r="T1701" s="633"/>
      <c r="U1701" s="634"/>
    </row>
    <row r="1702" spans="2:21" ht="19.149999999999999" customHeight="1">
      <c r="B1702" s="606" t="s">
        <v>1555</v>
      </c>
      <c r="C1702" s="655">
        <v>5</v>
      </c>
      <c r="D1702" s="615">
        <v>101</v>
      </c>
      <c r="E1702" s="608">
        <v>938400</v>
      </c>
      <c r="F1702" s="609" t="s">
        <v>1305</v>
      </c>
      <c r="G1702" s="610">
        <v>4</v>
      </c>
      <c r="H1702" s="610">
        <v>4.0268833333333331</v>
      </c>
      <c r="I1702" s="611" t="s">
        <v>669</v>
      </c>
      <c r="J1702" s="616">
        <v>1045</v>
      </c>
      <c r="K1702" s="613">
        <v>950</v>
      </c>
      <c r="L1702" s="616">
        <v>968</v>
      </c>
      <c r="M1702" s="616">
        <v>987</v>
      </c>
      <c r="N1702" s="614">
        <v>799.32841000000008</v>
      </c>
      <c r="O1702" s="648"/>
      <c r="P1702" s="648"/>
      <c r="R1702" s="626"/>
      <c r="T1702" s="633"/>
      <c r="U1702" s="634"/>
    </row>
    <row r="1703" spans="2:21" ht="19.149999999999999" customHeight="1">
      <c r="B1703" s="606" t="s">
        <v>1555</v>
      </c>
      <c r="C1703" s="655">
        <v>5</v>
      </c>
      <c r="D1703" s="615">
        <v>102</v>
      </c>
      <c r="E1703" s="608">
        <v>938400</v>
      </c>
      <c r="F1703" s="609" t="s">
        <v>1306</v>
      </c>
      <c r="G1703" s="610">
        <v>4</v>
      </c>
      <c r="H1703" s="610">
        <v>3.9252833333333337</v>
      </c>
      <c r="I1703" s="611" t="s">
        <v>669</v>
      </c>
      <c r="J1703" s="616">
        <v>744</v>
      </c>
      <c r="K1703" s="613">
        <v>730</v>
      </c>
      <c r="L1703" s="616">
        <v>762</v>
      </c>
      <c r="M1703" s="616">
        <v>777</v>
      </c>
      <c r="N1703" s="614">
        <v>714.30757999999992</v>
      </c>
      <c r="O1703" s="648"/>
      <c r="P1703" s="648"/>
      <c r="R1703" s="626"/>
      <c r="T1703" s="633"/>
      <c r="U1703" s="634"/>
    </row>
    <row r="1704" spans="2:21" ht="19.149999999999999" customHeight="1">
      <c r="B1704" s="606" t="s">
        <v>1555</v>
      </c>
      <c r="C1704" s="654">
        <v>5</v>
      </c>
      <c r="D1704" s="607">
        <v>103</v>
      </c>
      <c r="E1704" s="608">
        <v>938400</v>
      </c>
      <c r="F1704" s="609" t="s">
        <v>1307</v>
      </c>
      <c r="G1704" s="610">
        <v>15.15</v>
      </c>
      <c r="H1704" s="610">
        <v>14.983333333333333</v>
      </c>
      <c r="I1704" s="611" t="s">
        <v>669</v>
      </c>
      <c r="J1704" s="616">
        <v>2450</v>
      </c>
      <c r="K1704" s="613">
        <v>2365</v>
      </c>
      <c r="L1704" s="616">
        <v>2392</v>
      </c>
      <c r="M1704" s="616">
        <v>2392</v>
      </c>
      <c r="N1704" s="614">
        <v>2102.9677099999999</v>
      </c>
      <c r="O1704" s="648"/>
      <c r="P1704" s="648"/>
      <c r="R1704" s="626"/>
      <c r="T1704" s="633"/>
      <c r="U1704" s="634"/>
    </row>
    <row r="1705" spans="2:21" ht="19.149999999999999" customHeight="1">
      <c r="B1705" s="606" t="s">
        <v>1555</v>
      </c>
      <c r="C1705" s="655">
        <v>5</v>
      </c>
      <c r="D1705" s="615">
        <v>104</v>
      </c>
      <c r="E1705" s="608">
        <v>938400</v>
      </c>
      <c r="F1705" s="609" t="s">
        <v>1604</v>
      </c>
      <c r="G1705" s="610">
        <v>5</v>
      </c>
      <c r="H1705" s="610">
        <v>5</v>
      </c>
      <c r="I1705" s="611" t="s">
        <v>669</v>
      </c>
      <c r="J1705" s="616">
        <v>900</v>
      </c>
      <c r="K1705" s="613">
        <v>880</v>
      </c>
      <c r="L1705" s="616">
        <v>938</v>
      </c>
      <c r="M1705" s="616">
        <v>957</v>
      </c>
      <c r="N1705" s="614">
        <v>679.9940600000001</v>
      </c>
      <c r="O1705" s="648"/>
      <c r="P1705" s="648"/>
      <c r="R1705" s="626"/>
      <c r="T1705" s="633"/>
      <c r="U1705" s="634"/>
    </row>
    <row r="1706" spans="2:21" ht="19.149999999999999" customHeight="1">
      <c r="B1706" s="606" t="s">
        <v>1555</v>
      </c>
      <c r="C1706" s="654">
        <v>5</v>
      </c>
      <c r="D1706" s="607">
        <v>127</v>
      </c>
      <c r="E1706" s="608">
        <v>938400</v>
      </c>
      <c r="F1706" s="609" t="s">
        <v>966</v>
      </c>
      <c r="G1706" s="610">
        <v>0</v>
      </c>
      <c r="H1706" s="610">
        <v>0</v>
      </c>
      <c r="I1706" s="611" t="s">
        <v>669</v>
      </c>
      <c r="J1706" s="616">
        <v>30</v>
      </c>
      <c r="K1706" s="613">
        <v>30</v>
      </c>
      <c r="L1706" s="616">
        <v>30</v>
      </c>
      <c r="M1706" s="616">
        <v>30</v>
      </c>
      <c r="N1706" s="614">
        <v>22.220959999999998</v>
      </c>
      <c r="O1706" s="648"/>
      <c r="P1706" s="648"/>
      <c r="R1706" s="626"/>
      <c r="T1706" s="633"/>
      <c r="U1706" s="634"/>
    </row>
    <row r="1707" spans="2:21" ht="19.149999999999999" customHeight="1">
      <c r="B1707" s="606" t="s">
        <v>1555</v>
      </c>
      <c r="C1707" s="654">
        <v>5</v>
      </c>
      <c r="D1707" s="607">
        <v>430</v>
      </c>
      <c r="E1707" s="608">
        <v>938400</v>
      </c>
      <c r="F1707" s="609" t="s">
        <v>192</v>
      </c>
      <c r="G1707" s="610"/>
      <c r="H1707" s="610"/>
      <c r="I1707" s="611" t="s">
        <v>175</v>
      </c>
      <c r="J1707" s="616">
        <v>170</v>
      </c>
      <c r="K1707" s="613">
        <v>170</v>
      </c>
      <c r="L1707" s="616">
        <v>187</v>
      </c>
      <c r="M1707" s="616">
        <v>187</v>
      </c>
      <c r="N1707" s="614">
        <v>169.03158999999999</v>
      </c>
      <c r="O1707" s="648"/>
      <c r="P1707" s="648"/>
      <c r="R1707" s="626"/>
      <c r="T1707" s="633"/>
      <c r="U1707" s="634"/>
    </row>
    <row r="1708" spans="2:21" ht="19.149999999999999" customHeight="1">
      <c r="B1708" s="606" t="s">
        <v>1555</v>
      </c>
      <c r="C1708" s="654">
        <v>5</v>
      </c>
      <c r="D1708" s="607">
        <v>470</v>
      </c>
      <c r="E1708" s="608">
        <v>938400</v>
      </c>
      <c r="F1708" s="609" t="s">
        <v>343</v>
      </c>
      <c r="G1708" s="610"/>
      <c r="H1708" s="610"/>
      <c r="I1708" s="611" t="s">
        <v>44</v>
      </c>
      <c r="J1708" s="616">
        <v>68</v>
      </c>
      <c r="K1708" s="613">
        <v>68</v>
      </c>
      <c r="L1708" s="616">
        <v>68</v>
      </c>
      <c r="M1708" s="616">
        <v>68</v>
      </c>
      <c r="N1708" s="614">
        <v>67.646729999999991</v>
      </c>
      <c r="O1708" s="648"/>
      <c r="P1708" s="648"/>
      <c r="R1708" s="626"/>
      <c r="T1708" s="633"/>
      <c r="U1708" s="634"/>
    </row>
    <row r="1709" spans="2:21" ht="19.149999999999999" customHeight="1">
      <c r="B1709" s="606" t="s">
        <v>1555</v>
      </c>
      <c r="C1709" s="654">
        <v>5</v>
      </c>
      <c r="D1709" s="607">
        <v>511</v>
      </c>
      <c r="E1709" s="608">
        <v>938400</v>
      </c>
      <c r="F1709" s="609" t="s">
        <v>1682</v>
      </c>
      <c r="G1709" s="610"/>
      <c r="H1709" s="610"/>
      <c r="I1709" s="611" t="s">
        <v>44</v>
      </c>
      <c r="J1709" s="616">
        <v>57</v>
      </c>
      <c r="K1709" s="613">
        <v>57</v>
      </c>
      <c r="L1709" s="616">
        <v>57</v>
      </c>
      <c r="M1709" s="616">
        <v>57</v>
      </c>
      <c r="N1709" s="614">
        <v>38.417099999999998</v>
      </c>
      <c r="O1709" s="648"/>
      <c r="P1709" s="648"/>
      <c r="R1709" s="626"/>
      <c r="T1709" s="633"/>
      <c r="U1709" s="634"/>
    </row>
    <row r="1710" spans="2:21" ht="14">
      <c r="B1710" s="606" t="s">
        <v>1555</v>
      </c>
      <c r="C1710" s="654">
        <v>10</v>
      </c>
      <c r="D1710" s="607">
        <v>540</v>
      </c>
      <c r="E1710" s="608">
        <v>938400</v>
      </c>
      <c r="F1710" s="609" t="s">
        <v>1648</v>
      </c>
      <c r="G1710" s="610"/>
      <c r="H1710" s="610"/>
      <c r="I1710" s="611" t="s">
        <v>175</v>
      </c>
      <c r="J1710" s="616">
        <v>60</v>
      </c>
      <c r="K1710" s="613">
        <v>60</v>
      </c>
      <c r="L1710" s="616">
        <v>60</v>
      </c>
      <c r="M1710" s="616">
        <v>60</v>
      </c>
      <c r="N1710" s="614">
        <v>57.678879999999999</v>
      </c>
      <c r="O1710" s="648"/>
      <c r="P1710" s="648"/>
      <c r="R1710" s="626"/>
      <c r="T1710" s="633"/>
      <c r="U1710" s="634"/>
    </row>
    <row r="1711" spans="2:21" ht="19.149999999999999" customHeight="1">
      <c r="B1711" s="606" t="s">
        <v>1555</v>
      </c>
      <c r="C1711" s="654">
        <v>12</v>
      </c>
      <c r="D1711" s="607">
        <v>550</v>
      </c>
      <c r="E1711" s="608">
        <v>938400</v>
      </c>
      <c r="F1711" s="609" t="s">
        <v>607</v>
      </c>
      <c r="G1711" s="610"/>
      <c r="H1711" s="610"/>
      <c r="I1711" s="611" t="s">
        <v>44</v>
      </c>
      <c r="J1711" s="616">
        <v>28</v>
      </c>
      <c r="K1711" s="613">
        <v>28</v>
      </c>
      <c r="L1711" s="616">
        <v>28</v>
      </c>
      <c r="M1711" s="616">
        <v>28</v>
      </c>
      <c r="N1711" s="614">
        <v>29.84796</v>
      </c>
      <c r="O1711" s="648"/>
      <c r="P1711" s="648"/>
      <c r="R1711" s="626"/>
      <c r="T1711" s="633"/>
      <c r="U1711" s="634"/>
    </row>
    <row r="1712" spans="2:21" ht="19.149999999999999" customHeight="1">
      <c r="B1712" s="606" t="s">
        <v>1555</v>
      </c>
      <c r="C1712" s="654">
        <v>10</v>
      </c>
      <c r="D1712" s="607">
        <v>570</v>
      </c>
      <c r="E1712" s="608">
        <v>938400</v>
      </c>
      <c r="F1712" s="710" t="s">
        <v>1047</v>
      </c>
      <c r="G1712" s="610"/>
      <c r="H1712" s="610"/>
      <c r="I1712" s="611" t="s">
        <v>175</v>
      </c>
      <c r="J1712" s="616">
        <v>90</v>
      </c>
      <c r="K1712" s="613">
        <v>90</v>
      </c>
      <c r="L1712" s="616">
        <v>90</v>
      </c>
      <c r="M1712" s="616">
        <v>90</v>
      </c>
      <c r="N1712" s="614">
        <v>87.163409999999999</v>
      </c>
      <c r="O1712" s="648"/>
      <c r="P1712" s="648"/>
      <c r="R1712" s="626"/>
      <c r="T1712" s="633"/>
      <c r="U1712" s="634"/>
    </row>
    <row r="1713" spans="2:21" ht="19.149999999999999" customHeight="1">
      <c r="B1713" s="606" t="s">
        <v>1555</v>
      </c>
      <c r="C1713" s="654">
        <v>5</v>
      </c>
      <c r="D1713" s="607">
        <v>730</v>
      </c>
      <c r="E1713" s="608">
        <v>938400</v>
      </c>
      <c r="F1713" s="703" t="s">
        <v>869</v>
      </c>
      <c r="G1713" s="610"/>
      <c r="H1713" s="610"/>
      <c r="I1713" s="611" t="s">
        <v>175</v>
      </c>
      <c r="J1713" s="616">
        <v>500</v>
      </c>
      <c r="K1713" s="613">
        <v>500</v>
      </c>
      <c r="L1713" s="616">
        <v>560</v>
      </c>
      <c r="M1713" s="616">
        <v>560</v>
      </c>
      <c r="N1713" s="614">
        <v>471.65876000000003</v>
      </c>
      <c r="O1713" s="648"/>
      <c r="P1713" s="648"/>
      <c r="R1713" s="626"/>
      <c r="T1713" s="633"/>
      <c r="U1713" s="634"/>
    </row>
    <row r="1714" spans="2:21" ht="19.149999999999999" customHeight="1">
      <c r="B1714" s="606" t="s">
        <v>1555</v>
      </c>
      <c r="C1714" s="654">
        <v>5</v>
      </c>
      <c r="D1714" s="607">
        <v>742</v>
      </c>
      <c r="E1714" s="608">
        <v>938400</v>
      </c>
      <c r="F1714" s="710" t="s">
        <v>609</v>
      </c>
      <c r="G1714" s="610"/>
      <c r="H1714" s="610"/>
      <c r="I1714" s="611" t="s">
        <v>175</v>
      </c>
      <c r="J1714" s="616">
        <v>5</v>
      </c>
      <c r="K1714" s="613">
        <v>5</v>
      </c>
      <c r="L1714" s="616">
        <v>5</v>
      </c>
      <c r="M1714" s="616">
        <v>5</v>
      </c>
      <c r="N1714" s="614">
        <v>4.0449700000000002</v>
      </c>
      <c r="O1714" s="648"/>
      <c r="P1714" s="648"/>
      <c r="R1714" s="626"/>
      <c r="T1714" s="633"/>
      <c r="U1714" s="634"/>
    </row>
    <row r="1715" spans="2:21" ht="19.149999999999999" customHeight="1">
      <c r="B1715" s="606" t="s">
        <v>1555</v>
      </c>
      <c r="C1715" s="655">
        <v>9</v>
      </c>
      <c r="D1715" s="615">
        <v>750</v>
      </c>
      <c r="E1715" s="608">
        <v>938400</v>
      </c>
      <c r="F1715" s="609" t="s">
        <v>314</v>
      </c>
      <c r="G1715" s="610"/>
      <c r="H1715" s="610"/>
      <c r="I1715" s="611" t="s">
        <v>175</v>
      </c>
      <c r="J1715" s="616">
        <v>620</v>
      </c>
      <c r="K1715" s="613">
        <v>606</v>
      </c>
      <c r="L1715" s="616">
        <v>606</v>
      </c>
      <c r="M1715" s="616">
        <v>588</v>
      </c>
      <c r="N1715" s="614">
        <v>540.55343999999991</v>
      </c>
      <c r="O1715" s="648"/>
      <c r="P1715" s="648"/>
      <c r="R1715" s="626"/>
      <c r="T1715" s="633"/>
      <c r="U1715" s="634"/>
    </row>
    <row r="1716" spans="2:21" ht="19.149999999999999" customHeight="1">
      <c r="B1716" s="606" t="s">
        <v>1555</v>
      </c>
      <c r="C1716" s="654">
        <v>5</v>
      </c>
      <c r="D1716" s="607">
        <v>751</v>
      </c>
      <c r="E1716" s="608">
        <v>938400</v>
      </c>
      <c r="F1716" s="609" t="s">
        <v>670</v>
      </c>
      <c r="G1716" s="610"/>
      <c r="H1716" s="610"/>
      <c r="I1716" s="611" t="s">
        <v>175</v>
      </c>
      <c r="J1716" s="616">
        <v>260</v>
      </c>
      <c r="K1716" s="613">
        <v>226</v>
      </c>
      <c r="L1716" s="616">
        <v>226</v>
      </c>
      <c r="M1716" s="616">
        <v>196</v>
      </c>
      <c r="N1716" s="614">
        <v>191.79813000000001</v>
      </c>
      <c r="O1716" s="648"/>
      <c r="P1716" s="648"/>
      <c r="R1716" s="626"/>
      <c r="T1716" s="633"/>
      <c r="U1716" s="634"/>
    </row>
    <row r="1717" spans="2:21" ht="28">
      <c r="B1717" s="606" t="s">
        <v>1555</v>
      </c>
      <c r="C1717" s="655">
        <v>5</v>
      </c>
      <c r="D1717" s="615">
        <v>780</v>
      </c>
      <c r="E1717" s="608">
        <v>938400</v>
      </c>
      <c r="F1717" s="609" t="s">
        <v>47</v>
      </c>
      <c r="G1717" s="610"/>
      <c r="H1717" s="610"/>
      <c r="I1717" s="611" t="s">
        <v>44</v>
      </c>
      <c r="J1717" s="616">
        <v>124</v>
      </c>
      <c r="K1717" s="613">
        <v>124</v>
      </c>
      <c r="L1717" s="616">
        <v>124</v>
      </c>
      <c r="M1717" s="616">
        <v>155</v>
      </c>
      <c r="N1717" s="614">
        <v>144.67195999999998</v>
      </c>
      <c r="O1717" s="648"/>
      <c r="P1717" s="648"/>
      <c r="R1717" s="626"/>
      <c r="T1717" s="633"/>
      <c r="U1717" s="634"/>
    </row>
    <row r="1718" spans="2:21" ht="19.149999999999999" customHeight="1">
      <c r="B1718" s="606" t="s">
        <v>1555</v>
      </c>
      <c r="C1718" s="655">
        <v>5</v>
      </c>
      <c r="D1718" s="615">
        <v>781</v>
      </c>
      <c r="E1718" s="608">
        <v>938400</v>
      </c>
      <c r="F1718" s="609" t="s">
        <v>671</v>
      </c>
      <c r="G1718" s="610"/>
      <c r="H1718" s="610"/>
      <c r="I1718" s="611" t="s">
        <v>44</v>
      </c>
      <c r="J1718" s="616">
        <f>26-5</f>
        <v>21</v>
      </c>
      <c r="K1718" s="613">
        <v>26</v>
      </c>
      <c r="L1718" s="616">
        <v>26</v>
      </c>
      <c r="M1718" s="616">
        <v>41</v>
      </c>
      <c r="N1718" s="614">
        <v>35.02167</v>
      </c>
      <c r="O1718" s="648"/>
      <c r="P1718" s="648"/>
      <c r="R1718" s="626"/>
      <c r="T1718" s="633"/>
      <c r="U1718" s="634"/>
    </row>
    <row r="1719" spans="2:21" ht="19.149999999999999" customHeight="1">
      <c r="B1719" s="606" t="s">
        <v>1555</v>
      </c>
      <c r="C1719" s="654">
        <v>5</v>
      </c>
      <c r="D1719" s="607">
        <v>782</v>
      </c>
      <c r="E1719" s="608">
        <v>938400</v>
      </c>
      <c r="F1719" s="609" t="s">
        <v>1357</v>
      </c>
      <c r="G1719" s="610"/>
      <c r="H1719" s="610"/>
      <c r="I1719" s="611" t="s">
        <v>44</v>
      </c>
      <c r="J1719" s="616">
        <f>10-5</f>
        <v>5</v>
      </c>
      <c r="K1719" s="613">
        <v>10</v>
      </c>
      <c r="L1719" s="616">
        <v>10</v>
      </c>
      <c r="M1719" s="616">
        <v>10</v>
      </c>
      <c r="N1719" s="614">
        <v>9.9993999999999996</v>
      </c>
      <c r="O1719" s="648"/>
      <c r="P1719" s="648"/>
      <c r="R1719" s="626"/>
      <c r="T1719" s="633"/>
      <c r="U1719" s="634"/>
    </row>
    <row r="1720" spans="2:21" ht="19.149999999999999" customHeight="1">
      <c r="B1720" s="617"/>
      <c r="C1720" s="656"/>
      <c r="D1720" s="618"/>
      <c r="E1720" s="619" t="s">
        <v>149</v>
      </c>
      <c r="F1720" s="850" t="s">
        <v>2290</v>
      </c>
      <c r="G1720" s="621">
        <f>SUM(G1701:G1719)</f>
        <v>41.65</v>
      </c>
      <c r="H1720" s="621">
        <f>SUM(H1701:H1719)</f>
        <v>41.80331666666666</v>
      </c>
      <c r="I1720" s="622"/>
      <c r="J1720" s="623">
        <f>SUM(J1701:J1719)</f>
        <v>9977</v>
      </c>
      <c r="K1720" s="624">
        <f>SUM(K1701:K1719)</f>
        <v>9625</v>
      </c>
      <c r="L1720" s="623">
        <f>SUM(L1701:L1719)</f>
        <v>9994</v>
      </c>
      <c r="M1720" s="623">
        <f>SUM(M1701:M1719)</f>
        <v>10307</v>
      </c>
      <c r="N1720" s="625">
        <f>SUM(N1701:N1719)</f>
        <v>9142.634689999999</v>
      </c>
      <c r="O1720" s="648"/>
      <c r="P1720" s="648"/>
      <c r="R1720" s="626"/>
      <c r="T1720" s="633"/>
      <c r="U1720" s="632"/>
    </row>
    <row r="1721" spans="2:21" ht="19.149999999999999" customHeight="1">
      <c r="B1721" s="617"/>
      <c r="C1721" s="656"/>
      <c r="D1721" s="618"/>
      <c r="E1721" s="619" t="s">
        <v>36</v>
      </c>
      <c r="F1721" s="620" t="s">
        <v>2291</v>
      </c>
      <c r="G1721" s="621">
        <f>SUMIF($E$1648:$E$1720,"*.",G1648:G1720)</f>
        <v>61.15</v>
      </c>
      <c r="H1721" s="621">
        <f>SUMIF($E$1648:$E$1720,"*.",H1648:H1720)</f>
        <v>61.30331666666666</v>
      </c>
      <c r="I1721" s="622"/>
      <c r="J1721" s="623">
        <f>SUMIF($E$1648:$E$1720,"*.",J1648:J1720)</f>
        <v>23058</v>
      </c>
      <c r="K1721" s="624">
        <f>SUMIF($E$1648:$E$1720,"*.",K1648:K1720)</f>
        <v>22000</v>
      </c>
      <c r="L1721" s="623">
        <f>SUMIF($E$1648:$E$1720,"*.",L1648:L1720)</f>
        <v>23144</v>
      </c>
      <c r="M1721" s="623">
        <f>SUMIF($E$1648:$E$1720,"*.",M1648:M1720)</f>
        <v>23980</v>
      </c>
      <c r="N1721" s="625">
        <f>SUMIF($E$1648:$E$1720,"*.",N1648:N1720)</f>
        <v>21853.192919999998</v>
      </c>
      <c r="O1721" s="648"/>
      <c r="P1721" s="648"/>
      <c r="R1721" s="626"/>
      <c r="T1721" s="633"/>
      <c r="U1721" s="632"/>
    </row>
    <row r="1722" spans="2:21" ht="19.149999999999999" customHeight="1">
      <c r="B1722" s="704"/>
      <c r="C1722" s="684"/>
      <c r="D1722" s="705"/>
      <c r="E1722" s="695" t="s">
        <v>1048</v>
      </c>
      <c r="F1722" s="687" t="s">
        <v>1154</v>
      </c>
      <c r="G1722" s="706"/>
      <c r="H1722" s="706"/>
      <c r="I1722" s="707"/>
      <c r="J1722" s="690"/>
      <c r="K1722" s="693"/>
      <c r="L1722" s="690"/>
      <c r="M1722" s="690"/>
      <c r="N1722" s="708"/>
      <c r="O1722" s="648"/>
      <c r="P1722" s="648"/>
      <c r="R1722" s="626"/>
      <c r="T1722" s="633"/>
      <c r="U1722" s="632"/>
    </row>
    <row r="1723" spans="2:21" ht="19.149999999999999" customHeight="1">
      <c r="B1723" s="704"/>
      <c r="C1723" s="684"/>
      <c r="D1723" s="705"/>
      <c r="E1723" s="695" t="s">
        <v>1049</v>
      </c>
      <c r="F1723" s="687" t="s">
        <v>1050</v>
      </c>
      <c r="G1723" s="706"/>
      <c r="H1723" s="706"/>
      <c r="I1723" s="707"/>
      <c r="J1723" s="690"/>
      <c r="K1723" s="693"/>
      <c r="L1723" s="690"/>
      <c r="M1723" s="690"/>
      <c r="N1723" s="708"/>
      <c r="O1723" s="648"/>
      <c r="P1723" s="648"/>
      <c r="R1723" s="626"/>
      <c r="T1723" s="633"/>
      <c r="U1723" s="632"/>
    </row>
    <row r="1724" spans="2:21" ht="19.149999999999999" customHeight="1">
      <c r="B1724" s="606" t="s">
        <v>1050</v>
      </c>
      <c r="C1724" s="655">
        <v>9</v>
      </c>
      <c r="D1724" s="615">
        <v>100</v>
      </c>
      <c r="E1724" s="608">
        <v>943000</v>
      </c>
      <c r="F1724" s="609" t="s">
        <v>28</v>
      </c>
      <c r="G1724" s="610">
        <v>5</v>
      </c>
      <c r="H1724" s="610">
        <v>5</v>
      </c>
      <c r="I1724" s="611" t="s">
        <v>669</v>
      </c>
      <c r="J1724" s="616">
        <v>770</v>
      </c>
      <c r="K1724" s="613">
        <v>750</v>
      </c>
      <c r="L1724" s="616">
        <v>793</v>
      </c>
      <c r="M1724" s="616">
        <v>809</v>
      </c>
      <c r="N1724" s="614">
        <v>697.61858999999993</v>
      </c>
      <c r="O1724" s="648"/>
      <c r="P1724" s="648"/>
      <c r="R1724" s="626"/>
      <c r="T1724" s="633"/>
      <c r="U1724" s="634"/>
    </row>
    <row r="1725" spans="2:21" ht="19.149999999999999" customHeight="1">
      <c r="B1725" s="606" t="s">
        <v>1050</v>
      </c>
      <c r="C1725" s="654">
        <v>12</v>
      </c>
      <c r="D1725" s="607">
        <v>550</v>
      </c>
      <c r="E1725" s="608">
        <v>943000</v>
      </c>
      <c r="F1725" s="609" t="s">
        <v>607</v>
      </c>
      <c r="G1725" s="610"/>
      <c r="H1725" s="610"/>
      <c r="I1725" s="611" t="s">
        <v>44</v>
      </c>
      <c r="J1725" s="616">
        <v>65</v>
      </c>
      <c r="K1725" s="613">
        <v>65</v>
      </c>
      <c r="L1725" s="616">
        <v>65</v>
      </c>
      <c r="M1725" s="616">
        <v>65</v>
      </c>
      <c r="N1725" s="614">
        <v>39.3735</v>
      </c>
      <c r="O1725" s="648"/>
      <c r="P1725" s="648"/>
      <c r="R1725" s="626"/>
      <c r="T1725" s="633"/>
      <c r="U1725" s="634"/>
    </row>
    <row r="1726" spans="2:21" ht="18.649999999999999" customHeight="1">
      <c r="B1726" s="606" t="s">
        <v>1050</v>
      </c>
      <c r="C1726" s="654">
        <v>10</v>
      </c>
      <c r="D1726" s="607">
        <v>570</v>
      </c>
      <c r="E1726" s="608">
        <v>943000</v>
      </c>
      <c r="F1726" s="609" t="s">
        <v>1151</v>
      </c>
      <c r="G1726" s="610"/>
      <c r="H1726" s="610"/>
      <c r="I1726" s="611" t="s">
        <v>175</v>
      </c>
      <c r="J1726" s="616">
        <v>378</v>
      </c>
      <c r="K1726" s="613">
        <v>378</v>
      </c>
      <c r="L1726" s="616">
        <v>378</v>
      </c>
      <c r="M1726" s="616">
        <v>378</v>
      </c>
      <c r="N1726" s="614">
        <v>385.83040999999997</v>
      </c>
      <c r="O1726" s="648"/>
      <c r="P1726" s="648"/>
      <c r="R1726" s="626"/>
      <c r="T1726" s="633"/>
      <c r="U1726" s="634"/>
    </row>
    <row r="1727" spans="2:21" ht="19.149999999999999" customHeight="1">
      <c r="B1727" s="606" t="s">
        <v>1050</v>
      </c>
      <c r="C1727" s="654">
        <v>9</v>
      </c>
      <c r="D1727" s="607">
        <v>581</v>
      </c>
      <c r="E1727" s="608">
        <v>943000</v>
      </c>
      <c r="F1727" s="609" t="s">
        <v>1080</v>
      </c>
      <c r="G1727" s="610"/>
      <c r="H1727" s="610"/>
      <c r="I1727" s="611" t="s">
        <v>175</v>
      </c>
      <c r="J1727" s="616">
        <v>50</v>
      </c>
      <c r="K1727" s="613">
        <v>0</v>
      </c>
      <c r="L1727" s="616">
        <v>50</v>
      </c>
      <c r="M1727" s="616">
        <v>50</v>
      </c>
      <c r="N1727" s="614">
        <v>-230.29545999999999</v>
      </c>
      <c r="O1727" s="648"/>
      <c r="P1727" s="648"/>
      <c r="R1727" s="626"/>
      <c r="T1727" s="633"/>
      <c r="U1727" s="634"/>
    </row>
    <row r="1728" spans="2:21" ht="19.149999999999999" customHeight="1">
      <c r="B1728" s="606" t="s">
        <v>1050</v>
      </c>
      <c r="C1728" s="654">
        <v>2</v>
      </c>
      <c r="D1728" s="607">
        <v>610</v>
      </c>
      <c r="E1728" s="608">
        <v>943000</v>
      </c>
      <c r="F1728" s="609" t="s">
        <v>1289</v>
      </c>
      <c r="G1728" s="610"/>
      <c r="H1728" s="610"/>
      <c r="I1728" s="611" t="s">
        <v>175</v>
      </c>
      <c r="J1728" s="616">
        <v>200</v>
      </c>
      <c r="K1728" s="613">
        <v>130</v>
      </c>
      <c r="L1728" s="616">
        <v>200</v>
      </c>
      <c r="M1728" s="616">
        <v>200</v>
      </c>
      <c r="N1728" s="614">
        <v>193.00308999999999</v>
      </c>
      <c r="O1728" s="648"/>
      <c r="P1728" s="648"/>
      <c r="R1728" s="626"/>
      <c r="T1728" s="633"/>
      <c r="U1728" s="634"/>
    </row>
    <row r="1729" spans="2:26" ht="19.149999999999999" customHeight="1">
      <c r="B1729" s="606" t="s">
        <v>1050</v>
      </c>
      <c r="C1729" s="655">
        <v>9</v>
      </c>
      <c r="D1729" s="615">
        <v>750</v>
      </c>
      <c r="E1729" s="608">
        <v>943000</v>
      </c>
      <c r="F1729" s="609" t="s">
        <v>1145</v>
      </c>
      <c r="G1729" s="610"/>
      <c r="H1729" s="610"/>
      <c r="I1729" s="611" t="s">
        <v>175</v>
      </c>
      <c r="J1729" s="616">
        <v>144</v>
      </c>
      <c r="K1729" s="613">
        <v>122</v>
      </c>
      <c r="L1729" s="616">
        <v>87</v>
      </c>
      <c r="M1729" s="616">
        <v>52</v>
      </c>
      <c r="N1729" s="614">
        <v>47.231000000000002</v>
      </c>
      <c r="O1729" s="648"/>
      <c r="P1729" s="648"/>
      <c r="R1729" s="626"/>
      <c r="T1729" s="633"/>
      <c r="U1729" s="634"/>
    </row>
    <row r="1730" spans="2:26" ht="19.149999999999999" customHeight="1">
      <c r="B1730" s="606" t="s">
        <v>1050</v>
      </c>
      <c r="C1730" s="655">
        <v>9</v>
      </c>
      <c r="D1730" s="615">
        <v>751</v>
      </c>
      <c r="E1730" s="608">
        <v>943000</v>
      </c>
      <c r="F1730" s="609" t="s">
        <v>2104</v>
      </c>
      <c r="G1730" s="610"/>
      <c r="H1730" s="610"/>
      <c r="I1730" s="611" t="s">
        <v>175</v>
      </c>
      <c r="J1730" s="616">
        <v>500</v>
      </c>
      <c r="K1730" s="613">
        <v>500</v>
      </c>
      <c r="L1730" s="616">
        <v>500</v>
      </c>
      <c r="M1730" s="616">
        <v>1000</v>
      </c>
      <c r="N1730" s="614">
        <v>708.84325000000001</v>
      </c>
      <c r="O1730" s="648"/>
      <c r="P1730" s="648"/>
      <c r="R1730" s="626"/>
      <c r="T1730" s="633"/>
      <c r="U1730" s="634"/>
    </row>
    <row r="1731" spans="2:26" ht="19.149999999999999" customHeight="1">
      <c r="B1731" s="606" t="s">
        <v>1050</v>
      </c>
      <c r="C1731" s="654">
        <v>9</v>
      </c>
      <c r="D1731" s="607">
        <v>752</v>
      </c>
      <c r="E1731" s="608">
        <v>943000</v>
      </c>
      <c r="F1731" s="609" t="s">
        <v>1533</v>
      </c>
      <c r="G1731" s="610"/>
      <c r="H1731" s="610"/>
      <c r="I1731" s="611" t="s">
        <v>175</v>
      </c>
      <c r="J1731" s="616">
        <v>500</v>
      </c>
      <c r="K1731" s="613">
        <v>420</v>
      </c>
      <c r="L1731" s="616">
        <v>500</v>
      </c>
      <c r="M1731" s="616">
        <v>500</v>
      </c>
      <c r="N1731" s="614">
        <v>500.69370000000004</v>
      </c>
      <c r="O1731" s="648"/>
      <c r="P1731" s="648"/>
      <c r="R1731" s="626"/>
      <c r="T1731" s="633"/>
      <c r="U1731" s="634"/>
    </row>
    <row r="1732" spans="2:26" ht="28">
      <c r="B1732" s="606" t="s">
        <v>1050</v>
      </c>
      <c r="C1732" s="654">
        <v>2</v>
      </c>
      <c r="D1732" s="607">
        <v>761</v>
      </c>
      <c r="E1732" s="608">
        <v>943000</v>
      </c>
      <c r="F1732" s="609" t="s">
        <v>1282</v>
      </c>
      <c r="G1732" s="610"/>
      <c r="H1732" s="610"/>
      <c r="I1732" s="611" t="s">
        <v>175</v>
      </c>
      <c r="J1732" s="616">
        <v>500</v>
      </c>
      <c r="K1732" s="613">
        <v>550</v>
      </c>
      <c r="L1732" s="616">
        <v>450</v>
      </c>
      <c r="M1732" s="616">
        <v>450</v>
      </c>
      <c r="N1732" s="614">
        <v>593.59799999999996</v>
      </c>
      <c r="O1732" s="648"/>
      <c r="P1732" s="648"/>
      <c r="R1732" s="626"/>
      <c r="T1732" s="633"/>
      <c r="U1732" s="634"/>
    </row>
    <row r="1733" spans="2:26" ht="19.149999999999999" customHeight="1">
      <c r="B1733" s="606" t="s">
        <v>1050</v>
      </c>
      <c r="C1733" s="654">
        <v>9</v>
      </c>
      <c r="D1733" s="607">
        <v>780</v>
      </c>
      <c r="E1733" s="608">
        <v>943000</v>
      </c>
      <c r="F1733" s="609" t="s">
        <v>325</v>
      </c>
      <c r="G1733" s="610"/>
      <c r="H1733" s="610"/>
      <c r="I1733" s="611" t="s">
        <v>44</v>
      </c>
      <c r="J1733" s="616">
        <v>230</v>
      </c>
      <c r="K1733" s="613">
        <v>230</v>
      </c>
      <c r="L1733" s="616">
        <v>230</v>
      </c>
      <c r="M1733" s="616">
        <v>230</v>
      </c>
      <c r="N1733" s="614">
        <v>82.433729999999997</v>
      </c>
      <c r="O1733" s="648"/>
      <c r="P1733" s="648"/>
      <c r="R1733" s="626"/>
      <c r="T1733" s="633"/>
      <c r="U1733" s="634"/>
    </row>
    <row r="1734" spans="2:26" ht="19.149999999999999" customHeight="1">
      <c r="B1734" s="617"/>
      <c r="C1734" s="656"/>
      <c r="D1734" s="618"/>
      <c r="E1734" s="619" t="s">
        <v>1049</v>
      </c>
      <c r="F1734" s="620" t="s">
        <v>326</v>
      </c>
      <c r="G1734" s="621">
        <f>SUM(G1724:G1733)</f>
        <v>5</v>
      </c>
      <c r="H1734" s="621">
        <f>SUM(H1724:H1733)</f>
        <v>5</v>
      </c>
      <c r="I1734" s="622"/>
      <c r="J1734" s="623">
        <f>SUM(J1724:J1733)</f>
        <v>3337</v>
      </c>
      <c r="K1734" s="624">
        <f>SUM(K1724:K1733)</f>
        <v>3145</v>
      </c>
      <c r="L1734" s="623">
        <f>SUM(L1724:L1733)</f>
        <v>3253</v>
      </c>
      <c r="M1734" s="623">
        <f>SUM(M1724:M1733)</f>
        <v>3734</v>
      </c>
      <c r="N1734" s="625">
        <f>SUM(N1724:N1733)</f>
        <v>3018.3298099999997</v>
      </c>
      <c r="O1734" s="648"/>
      <c r="P1734" s="648"/>
      <c r="R1734" s="626"/>
      <c r="T1734" s="633"/>
      <c r="U1734" s="632"/>
    </row>
    <row r="1735" spans="2:26" ht="19.149999999999999" customHeight="1">
      <c r="B1735" s="617"/>
      <c r="C1735" s="656"/>
      <c r="D1735" s="618"/>
      <c r="E1735" s="619" t="s">
        <v>1048</v>
      </c>
      <c r="F1735" s="620" t="s">
        <v>452</v>
      </c>
      <c r="G1735" s="621">
        <f>SUMIF($E$1722:$E$1734,"*.",G1722:G1734)</f>
        <v>5</v>
      </c>
      <c r="H1735" s="621">
        <f>SUMIF($E$1722:$E$1734,"*.",H1722:H1734)</f>
        <v>5</v>
      </c>
      <c r="I1735" s="622"/>
      <c r="J1735" s="623">
        <f>SUMIF($E$1722:$E$1734,"*.",J1722:J1734)</f>
        <v>3337</v>
      </c>
      <c r="K1735" s="624">
        <f>SUMIF($E$1722:$E$1734,"*.",K1722:K1734)</f>
        <v>3145</v>
      </c>
      <c r="L1735" s="623">
        <f>SUMIF($E$1722:$E$1734,"*.",L1722:L1734)</f>
        <v>3253</v>
      </c>
      <c r="M1735" s="623">
        <f>SUMIF($E$1722:$E$1734,"*.",M1722:M1734)</f>
        <v>3734</v>
      </c>
      <c r="N1735" s="625">
        <f>SUMIF($E$1722:$E$1734,"*.",N1722:N1734)</f>
        <v>3018.3298099999997</v>
      </c>
      <c r="O1735" s="648"/>
      <c r="P1735" s="648"/>
      <c r="R1735" s="626"/>
      <c r="T1735" s="633"/>
      <c r="U1735" s="632"/>
    </row>
    <row r="1736" spans="2:26" ht="14">
      <c r="B1736" s="704"/>
      <c r="C1736" s="684"/>
      <c r="D1736" s="705"/>
      <c r="E1736" s="695" t="s">
        <v>481</v>
      </c>
      <c r="F1736" s="687" t="s">
        <v>659</v>
      </c>
      <c r="G1736" s="706"/>
      <c r="H1736" s="706"/>
      <c r="I1736" s="707"/>
      <c r="J1736" s="690"/>
      <c r="K1736" s="693"/>
      <c r="L1736" s="690"/>
      <c r="M1736" s="690"/>
      <c r="N1736" s="708"/>
      <c r="O1736" s="648"/>
      <c r="P1736" s="648"/>
      <c r="R1736" s="626"/>
      <c r="T1736" s="633"/>
      <c r="U1736" s="632"/>
    </row>
    <row r="1737" spans="2:26" ht="19.149999999999999" customHeight="1">
      <c r="B1737" s="704"/>
      <c r="C1737" s="684"/>
      <c r="D1737" s="705"/>
      <c r="E1737" s="695" t="s">
        <v>1156</v>
      </c>
      <c r="F1737" s="687" t="s">
        <v>1885</v>
      </c>
      <c r="G1737" s="706"/>
      <c r="H1737" s="706"/>
      <c r="I1737" s="707"/>
      <c r="J1737" s="690"/>
      <c r="K1737" s="693"/>
      <c r="L1737" s="690"/>
      <c r="M1737" s="690"/>
      <c r="N1737" s="708"/>
      <c r="O1737" s="648"/>
      <c r="P1737" s="648"/>
      <c r="R1737" s="626"/>
      <c r="T1737" s="633"/>
      <c r="U1737" s="632"/>
    </row>
    <row r="1738" spans="2:26" ht="19.149999999999999" customHeight="1">
      <c r="B1738" s="606" t="s">
        <v>432</v>
      </c>
      <c r="C1738" s="654">
        <v>2</v>
      </c>
      <c r="D1738" s="607">
        <v>691</v>
      </c>
      <c r="E1738" s="608">
        <v>971000</v>
      </c>
      <c r="F1738" s="609" t="s">
        <v>734</v>
      </c>
      <c r="G1738" s="729"/>
      <c r="H1738" s="729"/>
      <c r="I1738" s="730" t="s">
        <v>175</v>
      </c>
      <c r="J1738" s="731">
        <v>2700</v>
      </c>
      <c r="K1738" s="732">
        <v>4080</v>
      </c>
      <c r="L1738" s="731">
        <v>4080</v>
      </c>
      <c r="M1738" s="731">
        <v>4080</v>
      </c>
      <c r="N1738" s="614">
        <v>4921.0748700000004</v>
      </c>
      <c r="O1738" s="648"/>
      <c r="P1738" s="648"/>
      <c r="R1738" s="626"/>
      <c r="T1738" s="633"/>
      <c r="U1738" s="636"/>
      <c r="Z1738" s="216"/>
    </row>
    <row r="1739" spans="2:26" ht="14">
      <c r="B1739" s="606" t="s">
        <v>432</v>
      </c>
      <c r="C1739" s="654">
        <v>2</v>
      </c>
      <c r="D1739" s="607">
        <v>692</v>
      </c>
      <c r="E1739" s="608">
        <v>971000</v>
      </c>
      <c r="F1739" s="609" t="s">
        <v>735</v>
      </c>
      <c r="G1739" s="729"/>
      <c r="H1739" s="729"/>
      <c r="I1739" s="730" t="s">
        <v>175</v>
      </c>
      <c r="J1739" s="731">
        <v>200</v>
      </c>
      <c r="K1739" s="732">
        <v>350</v>
      </c>
      <c r="L1739" s="731">
        <v>350</v>
      </c>
      <c r="M1739" s="731">
        <v>350</v>
      </c>
      <c r="N1739" s="614">
        <v>499.35538000000003</v>
      </c>
      <c r="O1739" s="648"/>
      <c r="P1739" s="648"/>
      <c r="R1739" s="626"/>
      <c r="T1739" s="633"/>
      <c r="U1739" s="636"/>
      <c r="Z1739" s="216"/>
    </row>
    <row r="1740" spans="2:26" ht="19.149999999999999" customHeight="1">
      <c r="B1740" s="606" t="s">
        <v>432</v>
      </c>
      <c r="C1740" s="654">
        <v>2</v>
      </c>
      <c r="D1740" s="607">
        <v>693</v>
      </c>
      <c r="E1740" s="608">
        <v>971000</v>
      </c>
      <c r="F1740" s="609" t="s">
        <v>427</v>
      </c>
      <c r="G1740" s="729"/>
      <c r="H1740" s="729"/>
      <c r="I1740" s="730" t="s">
        <v>175</v>
      </c>
      <c r="J1740" s="731">
        <v>650</v>
      </c>
      <c r="K1740" s="732">
        <v>950</v>
      </c>
      <c r="L1740" s="731">
        <v>1050</v>
      </c>
      <c r="M1740" s="731">
        <v>1050</v>
      </c>
      <c r="N1740" s="614">
        <v>1126.9078999999999</v>
      </c>
      <c r="O1740" s="648"/>
      <c r="P1740" s="648"/>
      <c r="R1740" s="626"/>
      <c r="T1740" s="633"/>
      <c r="U1740" s="636"/>
      <c r="Z1740" s="216"/>
    </row>
    <row r="1741" spans="2:26" ht="19.149999999999999" customHeight="1">
      <c r="B1741" s="617"/>
      <c r="C1741" s="656"/>
      <c r="D1741" s="618"/>
      <c r="E1741" s="619" t="s">
        <v>1156</v>
      </c>
      <c r="F1741" s="620" t="s">
        <v>456</v>
      </c>
      <c r="G1741" s="621">
        <f>SUM(G1738:G1740)</f>
        <v>0</v>
      </c>
      <c r="H1741" s="621">
        <f>SUM(H1738:H1740)</f>
        <v>0</v>
      </c>
      <c r="I1741" s="622"/>
      <c r="J1741" s="623">
        <f>SUM(J1738:J1740)</f>
        <v>3550</v>
      </c>
      <c r="K1741" s="624">
        <f>SUM(K1738:K1740)</f>
        <v>5380</v>
      </c>
      <c r="L1741" s="623">
        <f>SUM(L1738:L1740)</f>
        <v>5480</v>
      </c>
      <c r="M1741" s="623">
        <f>SUM(M1738:M1740)</f>
        <v>5480</v>
      </c>
      <c r="N1741" s="625">
        <f>SUM(N1738:N1740)</f>
        <v>6547.3381500000005</v>
      </c>
      <c r="O1741" s="648"/>
      <c r="P1741" s="648"/>
      <c r="R1741" s="626"/>
      <c r="T1741" s="633"/>
      <c r="U1741" s="632"/>
    </row>
    <row r="1742" spans="2:26" ht="19.149999999999999" customHeight="1">
      <c r="B1742" s="704"/>
      <c r="C1742" s="684"/>
      <c r="D1742" s="705"/>
      <c r="E1742" s="695" t="s">
        <v>482</v>
      </c>
      <c r="F1742" s="687" t="s">
        <v>483</v>
      </c>
      <c r="G1742" s="706"/>
      <c r="H1742" s="706"/>
      <c r="I1742" s="707"/>
      <c r="J1742" s="690"/>
      <c r="K1742" s="693"/>
      <c r="L1742" s="690"/>
      <c r="M1742" s="690"/>
      <c r="N1742" s="708"/>
      <c r="O1742" s="648"/>
      <c r="P1742" s="648"/>
      <c r="R1742" s="626"/>
      <c r="T1742" s="633"/>
      <c r="U1742" s="632"/>
    </row>
    <row r="1743" spans="2:26" ht="28">
      <c r="B1743" s="606" t="s">
        <v>483</v>
      </c>
      <c r="C1743" s="654">
        <v>4</v>
      </c>
      <c r="D1743" s="607">
        <v>100</v>
      </c>
      <c r="E1743" s="608">
        <v>972000</v>
      </c>
      <c r="F1743" s="609" t="s">
        <v>1351</v>
      </c>
      <c r="G1743" s="610">
        <v>0</v>
      </c>
      <c r="H1743" s="610">
        <v>0.66666666666666674</v>
      </c>
      <c r="I1743" s="611" t="s">
        <v>669</v>
      </c>
      <c r="J1743" s="616">
        <v>0</v>
      </c>
      <c r="K1743" s="613">
        <v>75</v>
      </c>
      <c r="L1743" s="616">
        <v>190</v>
      </c>
      <c r="M1743" s="616">
        <v>190</v>
      </c>
      <c r="N1743" s="614">
        <v>180.34542000000002</v>
      </c>
      <c r="O1743" s="648"/>
      <c r="P1743" s="648"/>
      <c r="R1743" s="626"/>
      <c r="T1743" s="633"/>
      <c r="U1743" s="634"/>
    </row>
    <row r="1744" spans="2:26" ht="19.149999999999999" customHeight="1">
      <c r="B1744" s="617"/>
      <c r="C1744" s="656"/>
      <c r="D1744" s="618"/>
      <c r="E1744" s="619" t="s">
        <v>482</v>
      </c>
      <c r="F1744" s="620" t="s">
        <v>484</v>
      </c>
      <c r="G1744" s="621">
        <f>SUM(G1743:G1743)</f>
        <v>0</v>
      </c>
      <c r="H1744" s="621">
        <f>SUM(H1743:H1743)</f>
        <v>0.66666666666666674</v>
      </c>
      <c r="I1744" s="622"/>
      <c r="J1744" s="623">
        <f>SUM(J1742:J1743)</f>
        <v>0</v>
      </c>
      <c r="K1744" s="624">
        <f>SUM(K1742:K1743)</f>
        <v>75</v>
      </c>
      <c r="L1744" s="623">
        <f>SUM(L1742:L1743)</f>
        <v>190</v>
      </c>
      <c r="M1744" s="623">
        <f>SUM(M1742:M1743)</f>
        <v>190</v>
      </c>
      <c r="N1744" s="625">
        <f>SUM(N1742:N1743)</f>
        <v>180.34542000000002</v>
      </c>
      <c r="O1744" s="648"/>
      <c r="P1744" s="648"/>
      <c r="R1744" s="626"/>
      <c r="T1744" s="633"/>
      <c r="U1744" s="632"/>
    </row>
    <row r="1745" spans="2:26" ht="19.149999999999999" customHeight="1">
      <c r="B1745" s="704"/>
      <c r="C1745" s="684"/>
      <c r="D1745" s="705"/>
      <c r="E1745" s="695" t="s">
        <v>260</v>
      </c>
      <c r="F1745" s="687" t="s">
        <v>261</v>
      </c>
      <c r="G1745" s="706"/>
      <c r="H1745" s="706"/>
      <c r="I1745" s="707"/>
      <c r="J1745" s="690"/>
      <c r="K1745" s="693"/>
      <c r="L1745" s="690"/>
      <c r="M1745" s="690"/>
      <c r="N1745" s="708"/>
      <c r="O1745" s="648"/>
      <c r="P1745" s="648"/>
      <c r="R1745" s="626"/>
      <c r="T1745" s="633"/>
      <c r="U1745" s="632"/>
    </row>
    <row r="1746" spans="2:26" ht="28">
      <c r="B1746" s="606" t="s">
        <v>107</v>
      </c>
      <c r="C1746" s="654">
        <v>4</v>
      </c>
      <c r="D1746" s="607">
        <v>100</v>
      </c>
      <c r="E1746" s="608">
        <v>973000</v>
      </c>
      <c r="F1746" s="609" t="s">
        <v>1351</v>
      </c>
      <c r="G1746" s="610">
        <v>5</v>
      </c>
      <c r="H1746" s="610">
        <v>6.9780833333333341</v>
      </c>
      <c r="I1746" s="611" t="s">
        <v>669</v>
      </c>
      <c r="J1746" s="616">
        <v>1350</v>
      </c>
      <c r="K1746" s="613">
        <v>1530</v>
      </c>
      <c r="L1746" s="616">
        <v>1684</v>
      </c>
      <c r="M1746" s="616">
        <v>1684</v>
      </c>
      <c r="N1746" s="614">
        <v>1525.2052099999999</v>
      </c>
      <c r="O1746" s="648"/>
      <c r="P1746" s="648"/>
      <c r="R1746" s="626"/>
      <c r="T1746" s="633"/>
      <c r="U1746" s="634"/>
      <c r="Z1746" s="216"/>
    </row>
    <row r="1747" spans="2:26" ht="19.149999999999999" customHeight="1">
      <c r="B1747" s="606" t="s">
        <v>107</v>
      </c>
      <c r="C1747" s="654">
        <v>4</v>
      </c>
      <c r="D1747" s="607">
        <v>127</v>
      </c>
      <c r="E1747" s="608">
        <v>973000</v>
      </c>
      <c r="F1747" s="609" t="s">
        <v>1352</v>
      </c>
      <c r="G1747" s="610">
        <v>0</v>
      </c>
      <c r="H1747" s="610">
        <v>0</v>
      </c>
      <c r="I1747" s="611" t="s">
        <v>669</v>
      </c>
      <c r="J1747" s="616">
        <v>6</v>
      </c>
      <c r="K1747" s="613">
        <v>6</v>
      </c>
      <c r="L1747" s="616">
        <v>6</v>
      </c>
      <c r="M1747" s="616">
        <v>6</v>
      </c>
      <c r="N1747" s="614">
        <v>2.11456</v>
      </c>
      <c r="O1747" s="648"/>
      <c r="P1747" s="648"/>
      <c r="R1747" s="626"/>
      <c r="T1747" s="633"/>
      <c r="U1747" s="634"/>
    </row>
    <row r="1748" spans="2:26" ht="19.149999999999999" customHeight="1">
      <c r="B1748" s="617"/>
      <c r="C1748" s="656"/>
      <c r="D1748" s="618"/>
      <c r="E1748" s="619" t="s">
        <v>260</v>
      </c>
      <c r="F1748" s="620" t="s">
        <v>1084</v>
      </c>
      <c r="G1748" s="621">
        <f>SUM(G1746:G1747)</f>
        <v>5</v>
      </c>
      <c r="H1748" s="621">
        <f>SUM(H1746:H1747)</f>
        <v>6.9780833333333341</v>
      </c>
      <c r="I1748" s="622"/>
      <c r="J1748" s="623">
        <f>SUM(J1746:J1747)</f>
        <v>1356</v>
      </c>
      <c r="K1748" s="624">
        <f>SUM(K1746:K1747)</f>
        <v>1536</v>
      </c>
      <c r="L1748" s="623">
        <f>SUM(L1746:L1747)</f>
        <v>1690</v>
      </c>
      <c r="M1748" s="623">
        <f>SUM(M1746:M1747)</f>
        <v>1690</v>
      </c>
      <c r="N1748" s="625">
        <f>SUM(N1746:N1747)</f>
        <v>1527.3197699999998</v>
      </c>
      <c r="O1748" s="648"/>
      <c r="P1748" s="648"/>
      <c r="R1748" s="626"/>
      <c r="T1748" s="633"/>
      <c r="U1748" s="632"/>
    </row>
    <row r="1749" spans="2:26" ht="19.149999999999999" customHeight="1">
      <c r="B1749" s="747"/>
      <c r="C1749" s="656"/>
      <c r="D1749" s="618"/>
      <c r="E1749" s="619" t="s">
        <v>481</v>
      </c>
      <c r="F1749" s="620" t="s">
        <v>329</v>
      </c>
      <c r="G1749" s="621">
        <f>SUMIF($E$1736:$E$1748,"*.",G1736:G1748)</f>
        <v>5</v>
      </c>
      <c r="H1749" s="621">
        <f>SUMIF($E$1736:$E$1748,"*.",H1736:H1748)</f>
        <v>7.644750000000001</v>
      </c>
      <c r="I1749" s="622"/>
      <c r="J1749" s="623">
        <f>SUMIF($E$1736:$E$1748,"*.",J1736:J1748)</f>
        <v>4906</v>
      </c>
      <c r="K1749" s="624">
        <f>SUMIF($E$1736:$E$1748,"*.",K1736:K1748)</f>
        <v>6991</v>
      </c>
      <c r="L1749" s="623">
        <f>SUMIF($E$1736:$E$1748,"*.",L1736:L1748)</f>
        <v>7360</v>
      </c>
      <c r="M1749" s="623">
        <f>SUMIF($E$1736:$E$1748,"*.",M1736:M1748)</f>
        <v>7360</v>
      </c>
      <c r="N1749" s="625">
        <f>SUMIF($E$1736:$E$1748,"*.",N1736:N1748)</f>
        <v>8255.0033399999993</v>
      </c>
      <c r="O1749" s="648"/>
      <c r="P1749" s="648"/>
      <c r="R1749" s="626"/>
      <c r="T1749" s="633"/>
      <c r="U1749" s="632"/>
    </row>
    <row r="1750" spans="2:26" ht="19.149999999999999" customHeight="1">
      <c r="B1750" s="704"/>
      <c r="C1750" s="684"/>
      <c r="D1750" s="705"/>
      <c r="E1750" s="695" t="s">
        <v>330</v>
      </c>
      <c r="F1750" s="687" t="s">
        <v>597</v>
      </c>
      <c r="G1750" s="706"/>
      <c r="H1750" s="706"/>
      <c r="I1750" s="707"/>
      <c r="J1750" s="690"/>
      <c r="K1750" s="693"/>
      <c r="L1750" s="690"/>
      <c r="M1750" s="690"/>
      <c r="N1750" s="708"/>
      <c r="O1750" s="648"/>
      <c r="P1750" s="648"/>
      <c r="R1750" s="626"/>
      <c r="T1750" s="633"/>
      <c r="U1750" s="632"/>
    </row>
    <row r="1751" spans="2:26" ht="19.149999999999999" customHeight="1">
      <c r="B1751" s="704"/>
      <c r="C1751" s="684"/>
      <c r="D1751" s="705"/>
      <c r="E1751" s="695" t="s">
        <v>773</v>
      </c>
      <c r="F1751" s="687" t="s">
        <v>730</v>
      </c>
      <c r="G1751" s="706"/>
      <c r="H1751" s="706"/>
      <c r="I1751" s="707"/>
      <c r="J1751" s="690"/>
      <c r="K1751" s="693"/>
      <c r="L1751" s="690"/>
      <c r="M1751" s="690"/>
      <c r="N1751" s="708"/>
      <c r="O1751" s="648"/>
      <c r="P1751" s="648"/>
      <c r="R1751" s="626"/>
      <c r="T1751" s="633"/>
      <c r="U1751" s="632"/>
    </row>
    <row r="1752" spans="2:26" ht="19.149999999999999" customHeight="1">
      <c r="B1752" s="606" t="s">
        <v>730</v>
      </c>
      <c r="C1752" s="654">
        <v>7</v>
      </c>
      <c r="D1752" s="773">
        <v>980</v>
      </c>
      <c r="E1752" s="608">
        <v>991300</v>
      </c>
      <c r="F1752" s="710" t="s">
        <v>272</v>
      </c>
      <c r="G1752" s="610"/>
      <c r="H1752" s="610"/>
      <c r="I1752" s="611" t="s">
        <v>175</v>
      </c>
      <c r="J1752" s="616">
        <v>150</v>
      </c>
      <c r="K1752" s="613">
        <v>150</v>
      </c>
      <c r="L1752" s="616">
        <v>150</v>
      </c>
      <c r="M1752" s="616">
        <v>150</v>
      </c>
      <c r="N1752" s="614">
        <v>10000</v>
      </c>
      <c r="O1752" s="648"/>
      <c r="P1752" s="648"/>
      <c r="R1752" s="626"/>
      <c r="T1752" s="633"/>
      <c r="U1752" s="634"/>
      <c r="Z1752" s="216"/>
    </row>
    <row r="1753" spans="2:26" ht="28">
      <c r="B1753" s="606" t="s">
        <v>730</v>
      </c>
      <c r="C1753" s="654">
        <v>11</v>
      </c>
      <c r="D1753" s="773">
        <v>981</v>
      </c>
      <c r="E1753" s="608">
        <v>991300</v>
      </c>
      <c r="F1753" s="750" t="s">
        <v>1850</v>
      </c>
      <c r="G1753" s="610"/>
      <c r="H1753" s="610"/>
      <c r="I1753" s="611" t="s">
        <v>175</v>
      </c>
      <c r="J1753" s="616">
        <v>170</v>
      </c>
      <c r="K1753" s="613">
        <v>170</v>
      </c>
      <c r="L1753" s="616">
        <v>170</v>
      </c>
      <c r="M1753" s="616">
        <v>170</v>
      </c>
      <c r="N1753" s="614">
        <v>174</v>
      </c>
      <c r="O1753" s="648"/>
      <c r="P1753" s="648"/>
      <c r="R1753" s="626"/>
      <c r="T1753" s="633"/>
      <c r="U1753" s="634"/>
    </row>
    <row r="1754" spans="2:26" ht="19.149999999999999" customHeight="1">
      <c r="B1754" s="617"/>
      <c r="C1754" s="656"/>
      <c r="D1754" s="618"/>
      <c r="E1754" s="619" t="s">
        <v>773</v>
      </c>
      <c r="F1754" s="620" t="s">
        <v>731</v>
      </c>
      <c r="G1754" s="621">
        <f>SUM(G1751:G1753)</f>
        <v>0</v>
      </c>
      <c r="H1754" s="621">
        <f>SUM(H1751:H1753)</f>
        <v>0</v>
      </c>
      <c r="I1754" s="622"/>
      <c r="J1754" s="623">
        <f>SUM(J1751:J1753)</f>
        <v>320</v>
      </c>
      <c r="K1754" s="624">
        <f>SUM(K1751:K1753)</f>
        <v>320</v>
      </c>
      <c r="L1754" s="623">
        <f>SUM(L1751:L1753)</f>
        <v>320</v>
      </c>
      <c r="M1754" s="623">
        <f>SUM(M1751:M1753)</f>
        <v>320</v>
      </c>
      <c r="N1754" s="625">
        <f>SUM(N1751:N1753)</f>
        <v>10174</v>
      </c>
      <c r="O1754" s="648"/>
      <c r="P1754" s="648"/>
      <c r="R1754" s="626"/>
      <c r="T1754" s="633"/>
      <c r="U1754" s="632"/>
    </row>
    <row r="1755" spans="2:26" ht="19.149999999999999" customHeight="1">
      <c r="B1755" s="704"/>
      <c r="C1755" s="684"/>
      <c r="D1755" s="705"/>
      <c r="E1755" s="695" t="s">
        <v>331</v>
      </c>
      <c r="F1755" s="687" t="s">
        <v>332</v>
      </c>
      <c r="G1755" s="706"/>
      <c r="H1755" s="706"/>
      <c r="I1755" s="707"/>
      <c r="J1755" s="690"/>
      <c r="K1755" s="693"/>
      <c r="L1755" s="690"/>
      <c r="M1755" s="690"/>
      <c r="N1755" s="708"/>
      <c r="O1755" s="648"/>
      <c r="P1755" s="648"/>
      <c r="R1755" s="626"/>
      <c r="T1755" s="633"/>
      <c r="U1755" s="632"/>
    </row>
    <row r="1756" spans="2:26" ht="19.149999999999999" customHeight="1">
      <c r="B1756" s="606" t="s">
        <v>332</v>
      </c>
      <c r="C1756" s="654">
        <v>7</v>
      </c>
      <c r="D1756" s="773">
        <v>100</v>
      </c>
      <c r="E1756" s="608">
        <v>993000</v>
      </c>
      <c r="F1756" s="710" t="s">
        <v>1729</v>
      </c>
      <c r="G1756" s="610"/>
      <c r="H1756" s="610"/>
      <c r="I1756" s="611" t="s">
        <v>669</v>
      </c>
      <c r="J1756" s="616">
        <v>250</v>
      </c>
      <c r="K1756" s="613">
        <v>200</v>
      </c>
      <c r="L1756" s="616">
        <v>250</v>
      </c>
      <c r="M1756" s="616">
        <v>250</v>
      </c>
      <c r="N1756" s="614">
        <v>176.1754</v>
      </c>
      <c r="O1756" s="648"/>
      <c r="P1756" s="648"/>
      <c r="R1756" s="626"/>
      <c r="T1756" s="633"/>
      <c r="U1756" s="634"/>
      <c r="Z1756" s="216"/>
    </row>
    <row r="1757" spans="2:26" ht="19.149999999999999" customHeight="1">
      <c r="B1757" s="606" t="s">
        <v>332</v>
      </c>
      <c r="C1757" s="654">
        <v>7</v>
      </c>
      <c r="D1757" s="773">
        <v>980</v>
      </c>
      <c r="E1757" s="608">
        <v>993000</v>
      </c>
      <c r="F1757" s="750" t="s">
        <v>995</v>
      </c>
      <c r="G1757" s="610"/>
      <c r="H1757" s="610"/>
      <c r="I1757" s="611" t="s">
        <v>175</v>
      </c>
      <c r="J1757" s="616">
        <f>3000+32+15+3+200</f>
        <v>3250</v>
      </c>
      <c r="K1757" s="613">
        <v>2000</v>
      </c>
      <c r="L1757" s="616">
        <v>3060</v>
      </c>
      <c r="M1757" s="616">
        <v>3060</v>
      </c>
      <c r="N1757" s="614">
        <v>1863.44209</v>
      </c>
      <c r="O1757" s="648"/>
      <c r="P1757" s="648"/>
      <c r="R1757" s="626"/>
      <c r="T1757" s="633"/>
      <c r="U1757" s="634"/>
      <c r="Z1757" s="216"/>
    </row>
    <row r="1758" spans="2:26" ht="19.149999999999999" customHeight="1">
      <c r="B1758" s="617"/>
      <c r="C1758" s="656"/>
      <c r="D1758" s="618"/>
      <c r="E1758" s="619" t="s">
        <v>331</v>
      </c>
      <c r="F1758" s="620" t="s">
        <v>721</v>
      </c>
      <c r="G1758" s="621">
        <f>SUM(G1755:G1757)</f>
        <v>0</v>
      </c>
      <c r="H1758" s="621">
        <f>SUM(H1755:H1757)</f>
        <v>0</v>
      </c>
      <c r="I1758" s="622"/>
      <c r="J1758" s="623">
        <f>SUM(J1755:J1757)</f>
        <v>3500</v>
      </c>
      <c r="K1758" s="624">
        <f>SUM(K1755:K1757)</f>
        <v>2200</v>
      </c>
      <c r="L1758" s="623">
        <f>SUM(L1755:L1757)</f>
        <v>3310</v>
      </c>
      <c r="M1758" s="623">
        <f>SUM(M1755:M1757)</f>
        <v>3310</v>
      </c>
      <c r="N1758" s="625">
        <f>SUM(N1755:N1757)</f>
        <v>2039.6174900000001</v>
      </c>
      <c r="O1758" s="648"/>
      <c r="P1758" s="648"/>
      <c r="R1758" s="626"/>
      <c r="T1758" s="633"/>
      <c r="U1758" s="632"/>
    </row>
    <row r="1759" spans="2:26" ht="19.149999999999999" customHeight="1">
      <c r="B1759" s="704"/>
      <c r="C1759" s="684"/>
      <c r="D1759" s="705"/>
      <c r="E1759" s="695" t="s">
        <v>722</v>
      </c>
      <c r="F1759" s="687" t="s">
        <v>2292</v>
      </c>
      <c r="G1759" s="706"/>
      <c r="H1759" s="706"/>
      <c r="I1759" s="707"/>
      <c r="J1759" s="690"/>
      <c r="K1759" s="693"/>
      <c r="L1759" s="690"/>
      <c r="M1759" s="690"/>
      <c r="N1759" s="708"/>
      <c r="O1759" s="648"/>
      <c r="P1759" s="648"/>
      <c r="R1759" s="626"/>
      <c r="T1759" s="633"/>
      <c r="U1759" s="632"/>
    </row>
    <row r="1760" spans="2:26" ht="19.149999999999999" customHeight="1">
      <c r="B1760" s="606" t="s">
        <v>909</v>
      </c>
      <c r="C1760" s="654">
        <v>1</v>
      </c>
      <c r="D1760" s="607">
        <v>101</v>
      </c>
      <c r="E1760" s="608">
        <v>994000</v>
      </c>
      <c r="F1760" s="609" t="s">
        <v>1599</v>
      </c>
      <c r="G1760" s="610">
        <v>2.33</v>
      </c>
      <c r="H1760" s="610">
        <v>0</v>
      </c>
      <c r="I1760" s="611" t="s">
        <v>669</v>
      </c>
      <c r="J1760" s="616">
        <f>2.33*250+17-130+0.5</f>
        <v>470</v>
      </c>
      <c r="K1760" s="613">
        <v>0</v>
      </c>
      <c r="L1760" s="616">
        <v>308</v>
      </c>
      <c r="M1760" s="616">
        <v>628</v>
      </c>
      <c r="N1760" s="614">
        <v>0</v>
      </c>
      <c r="O1760" s="648"/>
      <c r="P1760" s="648"/>
      <c r="R1760" s="626"/>
      <c r="T1760" s="633"/>
      <c r="U1760" s="634"/>
      <c r="Z1760" s="216"/>
    </row>
    <row r="1761" spans="2:26" ht="19.149999999999999" customHeight="1">
      <c r="B1761" s="606" t="s">
        <v>909</v>
      </c>
      <c r="C1761" s="654">
        <v>7</v>
      </c>
      <c r="D1761" s="607">
        <v>182</v>
      </c>
      <c r="E1761" s="608">
        <v>994000</v>
      </c>
      <c r="F1761" s="724" t="s">
        <v>910</v>
      </c>
      <c r="G1761" s="610"/>
      <c r="H1761" s="610"/>
      <c r="I1761" s="611" t="s">
        <v>669</v>
      </c>
      <c r="J1761" s="616">
        <f>500*1.1</f>
        <v>550</v>
      </c>
      <c r="K1761" s="613">
        <v>500</v>
      </c>
      <c r="L1761" s="616">
        <v>514</v>
      </c>
      <c r="M1761" s="616">
        <v>514</v>
      </c>
      <c r="N1761" s="614">
        <v>459.72740000000005</v>
      </c>
      <c r="O1761" s="648"/>
      <c r="P1761" s="648"/>
      <c r="R1761" s="626"/>
      <c r="T1761" s="633"/>
      <c r="U1761" s="634"/>
      <c r="Z1761" s="216"/>
    </row>
    <row r="1762" spans="2:26" ht="19.149999999999999" customHeight="1">
      <c r="B1762" s="606" t="s">
        <v>909</v>
      </c>
      <c r="C1762" s="655">
        <v>1</v>
      </c>
      <c r="D1762" s="615">
        <v>960</v>
      </c>
      <c r="E1762" s="608">
        <v>994000</v>
      </c>
      <c r="F1762" s="724" t="s">
        <v>59</v>
      </c>
      <c r="G1762" s="610"/>
      <c r="H1762" s="610"/>
      <c r="I1762" s="611" t="s">
        <v>44</v>
      </c>
      <c r="J1762" s="616">
        <v>2000</v>
      </c>
      <c r="K1762" s="613">
        <v>2000</v>
      </c>
      <c r="L1762" s="616">
        <v>2000</v>
      </c>
      <c r="M1762" s="616">
        <v>2500</v>
      </c>
      <c r="N1762" s="614">
        <v>2283.1814199999999</v>
      </c>
      <c r="O1762" s="648"/>
      <c r="P1762" s="648"/>
      <c r="R1762" s="626"/>
      <c r="T1762" s="633"/>
      <c r="U1762" s="634"/>
    </row>
    <row r="1763" spans="2:26" ht="21.5">
      <c r="B1763" s="606" t="s">
        <v>909</v>
      </c>
      <c r="C1763" s="655">
        <v>1</v>
      </c>
      <c r="D1763" s="615">
        <v>961</v>
      </c>
      <c r="E1763" s="608">
        <v>994000</v>
      </c>
      <c r="F1763" s="609" t="s">
        <v>911</v>
      </c>
      <c r="G1763" s="610"/>
      <c r="H1763" s="610"/>
      <c r="I1763" s="611" t="s">
        <v>44</v>
      </c>
      <c r="J1763" s="616">
        <v>1680</v>
      </c>
      <c r="K1763" s="613">
        <v>1680</v>
      </c>
      <c r="L1763" s="616">
        <v>1680</v>
      </c>
      <c r="M1763" s="616">
        <v>2100</v>
      </c>
      <c r="N1763" s="614">
        <v>1965.2083400000001</v>
      </c>
      <c r="O1763" s="648"/>
      <c r="P1763" s="648"/>
      <c r="R1763" s="626"/>
      <c r="T1763" s="633"/>
      <c r="U1763" s="634"/>
    </row>
    <row r="1764" spans="2:26" ht="19.149999999999999" customHeight="1">
      <c r="B1764" s="606" t="s">
        <v>909</v>
      </c>
      <c r="C1764" s="655">
        <v>1</v>
      </c>
      <c r="D1764" s="615">
        <v>962</v>
      </c>
      <c r="E1764" s="608">
        <v>994000</v>
      </c>
      <c r="F1764" s="609" t="s">
        <v>1255</v>
      </c>
      <c r="G1764" s="610"/>
      <c r="H1764" s="610"/>
      <c r="I1764" s="611" t="s">
        <v>44</v>
      </c>
      <c r="J1764" s="616">
        <f>10220+80</f>
        <v>10300</v>
      </c>
      <c r="K1764" s="613">
        <v>8484</v>
      </c>
      <c r="L1764" s="616">
        <v>8484</v>
      </c>
      <c r="M1764" s="616">
        <v>10010</v>
      </c>
      <c r="N1764" s="614">
        <v>3477.3978199999997</v>
      </c>
      <c r="O1764" s="648"/>
      <c r="P1764" s="648"/>
      <c r="R1764" s="626"/>
      <c r="T1764" s="633"/>
      <c r="U1764" s="634"/>
    </row>
    <row r="1765" spans="2:26" ht="19.149999999999999" customHeight="1">
      <c r="B1765" s="606" t="s">
        <v>909</v>
      </c>
      <c r="C1765" s="654">
        <v>7</v>
      </c>
      <c r="D1765" s="607">
        <v>970</v>
      </c>
      <c r="E1765" s="608">
        <v>994000</v>
      </c>
      <c r="F1765" s="609" t="s">
        <v>912</v>
      </c>
      <c r="G1765" s="610"/>
      <c r="H1765" s="610"/>
      <c r="I1765" s="611" t="s">
        <v>175</v>
      </c>
      <c r="J1765" s="616">
        <v>200</v>
      </c>
      <c r="K1765" s="613">
        <v>200</v>
      </c>
      <c r="L1765" s="616">
        <v>2500</v>
      </c>
      <c r="M1765" s="616">
        <v>2500</v>
      </c>
      <c r="N1765" s="614">
        <v>121.417</v>
      </c>
      <c r="O1765" s="648"/>
      <c r="P1765" s="648"/>
      <c r="R1765" s="626"/>
      <c r="T1765" s="633"/>
      <c r="U1765" s="634"/>
      <c r="Z1765" s="216"/>
    </row>
    <row r="1766" spans="2:26" ht="19.149999999999999" customHeight="1">
      <c r="B1766" s="606" t="s">
        <v>909</v>
      </c>
      <c r="C1766" s="654">
        <v>7</v>
      </c>
      <c r="D1766" s="607">
        <v>981</v>
      </c>
      <c r="E1766" s="608">
        <v>994000</v>
      </c>
      <c r="F1766" s="609" t="s">
        <v>736</v>
      </c>
      <c r="G1766" s="610"/>
      <c r="H1766" s="610"/>
      <c r="I1766" s="611" t="s">
        <v>175</v>
      </c>
      <c r="J1766" s="616">
        <v>140</v>
      </c>
      <c r="K1766" s="613">
        <v>140</v>
      </c>
      <c r="L1766" s="616">
        <v>140</v>
      </c>
      <c r="M1766" s="616">
        <v>140</v>
      </c>
      <c r="N1766" s="614">
        <v>146.81537</v>
      </c>
      <c r="O1766" s="648"/>
      <c r="P1766" s="648"/>
      <c r="R1766" s="626"/>
      <c r="T1766" s="633"/>
      <c r="U1766" s="634"/>
      <c r="Z1766" s="216"/>
    </row>
    <row r="1767" spans="2:26" ht="19.149999999999999" customHeight="1">
      <c r="B1767" s="606" t="s">
        <v>909</v>
      </c>
      <c r="C1767" s="655">
        <v>7</v>
      </c>
      <c r="D1767" s="615">
        <v>982</v>
      </c>
      <c r="E1767" s="608">
        <v>994000</v>
      </c>
      <c r="F1767" s="609" t="s">
        <v>422</v>
      </c>
      <c r="G1767" s="610"/>
      <c r="H1767" s="610"/>
      <c r="I1767" s="611" t="s">
        <v>44</v>
      </c>
      <c r="J1767" s="616">
        <v>40</v>
      </c>
      <c r="K1767" s="613">
        <v>30</v>
      </c>
      <c r="L1767" s="616">
        <v>47</v>
      </c>
      <c r="M1767" s="616">
        <v>50</v>
      </c>
      <c r="N1767" s="614">
        <v>42.049030000000002</v>
      </c>
      <c r="O1767" s="648"/>
      <c r="P1767" s="648"/>
      <c r="R1767" s="626"/>
      <c r="T1767" s="633"/>
      <c r="U1767" s="634"/>
      <c r="Z1767" s="216"/>
    </row>
    <row r="1768" spans="2:26" ht="19.149999999999999" customHeight="1">
      <c r="B1768" s="711"/>
      <c r="C1768" s="851"/>
      <c r="D1768" s="618"/>
      <c r="E1768" s="619" t="s">
        <v>722</v>
      </c>
      <c r="F1768" s="620" t="s">
        <v>2293</v>
      </c>
      <c r="G1768" s="621">
        <f>SUM(G1760:G1767)</f>
        <v>2.33</v>
      </c>
      <c r="H1768" s="621">
        <f>SUM(H1760:H1767)</f>
        <v>0</v>
      </c>
      <c r="I1768" s="622"/>
      <c r="J1768" s="623">
        <f>SUM(J1760:J1767)</f>
        <v>15380</v>
      </c>
      <c r="K1768" s="624">
        <f>SUM(K1760:K1767)</f>
        <v>13034</v>
      </c>
      <c r="L1768" s="623">
        <f>SUM(L1760:L1767)</f>
        <v>15673</v>
      </c>
      <c r="M1768" s="623">
        <f>SUM(M1760:M1767)</f>
        <v>18442</v>
      </c>
      <c r="N1768" s="625">
        <f>SUM(N1760:N1767)</f>
        <v>8495.7963799999998</v>
      </c>
      <c r="O1768" s="648"/>
      <c r="P1768" s="648"/>
      <c r="R1768" s="626"/>
      <c r="T1768" s="633"/>
      <c r="U1768" s="632"/>
    </row>
    <row r="1769" spans="2:26" ht="19.149999999999999" customHeight="1">
      <c r="B1769" s="704"/>
      <c r="C1769" s="684"/>
      <c r="D1769" s="705"/>
      <c r="E1769" s="695" t="s">
        <v>913</v>
      </c>
      <c r="F1769" s="753" t="s">
        <v>1085</v>
      </c>
      <c r="G1769" s="706"/>
      <c r="H1769" s="706"/>
      <c r="I1769" s="707"/>
      <c r="J1769" s="690"/>
      <c r="K1769" s="693"/>
      <c r="L1769" s="690"/>
      <c r="M1769" s="690"/>
      <c r="N1769" s="708"/>
      <c r="O1769" s="648"/>
      <c r="P1769" s="648"/>
      <c r="R1769" s="626"/>
      <c r="T1769" s="633"/>
      <c r="U1769" s="632"/>
    </row>
    <row r="1770" spans="2:26" ht="36" customHeight="1">
      <c r="B1770" s="606" t="s">
        <v>914</v>
      </c>
      <c r="C1770" s="654">
        <v>2</v>
      </c>
      <c r="D1770" s="607">
        <v>861</v>
      </c>
      <c r="E1770" s="608">
        <v>995000</v>
      </c>
      <c r="F1770" s="724" t="s">
        <v>1561</v>
      </c>
      <c r="G1770" s="610"/>
      <c r="H1770" s="610"/>
      <c r="I1770" s="611" t="s">
        <v>175</v>
      </c>
      <c r="J1770" s="616">
        <v>61350</v>
      </c>
      <c r="K1770" s="613">
        <v>60800</v>
      </c>
      <c r="L1770" s="616">
        <f>55000+285</f>
        <v>55285</v>
      </c>
      <c r="M1770" s="616">
        <f>55000+285</f>
        <v>55285</v>
      </c>
      <c r="N1770" s="614">
        <v>60689</v>
      </c>
      <c r="O1770" s="648"/>
      <c r="P1770" s="648"/>
      <c r="R1770" s="626"/>
      <c r="T1770" s="633"/>
      <c r="U1770" s="634"/>
      <c r="Z1770" s="216"/>
    </row>
    <row r="1771" spans="2:26" ht="15.75" customHeight="1">
      <c r="B1771" s="606" t="s">
        <v>914</v>
      </c>
      <c r="C1771" s="655">
        <v>2</v>
      </c>
      <c r="D1771" s="615">
        <v>862</v>
      </c>
      <c r="E1771" s="608">
        <v>995000</v>
      </c>
      <c r="F1771" s="609" t="s">
        <v>2157</v>
      </c>
      <c r="G1771" s="610"/>
      <c r="H1771" s="610"/>
      <c r="I1771" s="611" t="s">
        <v>175</v>
      </c>
      <c r="J1771" s="616">
        <v>0</v>
      </c>
      <c r="K1771" s="613">
        <v>80000</v>
      </c>
      <c r="L1771" s="616">
        <v>80000</v>
      </c>
      <c r="M1771" s="616">
        <v>0</v>
      </c>
      <c r="N1771" s="614">
        <v>0</v>
      </c>
      <c r="O1771" s="648"/>
      <c r="P1771" s="648"/>
      <c r="R1771" s="626"/>
      <c r="T1771" s="633"/>
      <c r="U1771" s="634"/>
    </row>
    <row r="1772" spans="2:26" ht="19.149999999999999" customHeight="1">
      <c r="B1772" s="617"/>
      <c r="C1772" s="656"/>
      <c r="D1772" s="618"/>
      <c r="E1772" s="619" t="s">
        <v>913</v>
      </c>
      <c r="F1772" s="833" t="s">
        <v>1086</v>
      </c>
      <c r="G1772" s="621">
        <f>SUM(G1769:G1771)</f>
        <v>0</v>
      </c>
      <c r="H1772" s="621">
        <f>SUM(H1769:H1771)</f>
        <v>0</v>
      </c>
      <c r="I1772" s="622"/>
      <c r="J1772" s="623">
        <f>SUM(J1770:J1771)</f>
        <v>61350</v>
      </c>
      <c r="K1772" s="623">
        <f>SUM(K1770:K1771)</f>
        <v>140800</v>
      </c>
      <c r="L1772" s="623">
        <f>SUM(L1770:L1771)</f>
        <v>135285</v>
      </c>
      <c r="M1772" s="623">
        <f>SUM(M1770:M1771)</f>
        <v>55285</v>
      </c>
      <c r="N1772" s="625">
        <f>SUM(N1770:N1771)</f>
        <v>60689</v>
      </c>
      <c r="O1772" s="648"/>
      <c r="P1772" s="648"/>
      <c r="R1772" s="626"/>
      <c r="T1772" s="633"/>
      <c r="U1772" s="632"/>
    </row>
    <row r="1773" spans="2:26" ht="19.149999999999999" customHeight="1">
      <c r="B1773" s="704"/>
      <c r="C1773" s="684"/>
      <c r="D1773" s="705"/>
      <c r="E1773" s="695" t="s">
        <v>346</v>
      </c>
      <c r="F1773" s="751" t="s">
        <v>893</v>
      </c>
      <c r="G1773" s="706"/>
      <c r="H1773" s="706"/>
      <c r="I1773" s="707"/>
      <c r="J1773" s="690"/>
      <c r="K1773" s="693"/>
      <c r="L1773" s="690"/>
      <c r="M1773" s="690"/>
      <c r="N1773" s="708"/>
      <c r="O1773" s="648"/>
      <c r="P1773" s="648"/>
      <c r="R1773" s="626"/>
      <c r="T1773" s="633"/>
      <c r="U1773" s="632"/>
    </row>
    <row r="1774" spans="2:26" ht="19.149999999999999" customHeight="1">
      <c r="B1774" s="606" t="s">
        <v>347</v>
      </c>
      <c r="C1774" s="655">
        <v>7</v>
      </c>
      <c r="D1774" s="615">
        <v>310</v>
      </c>
      <c r="E1774" s="608">
        <v>997200</v>
      </c>
      <c r="F1774" s="609" t="s">
        <v>826</v>
      </c>
      <c r="G1774" s="610">
        <v>179.98</v>
      </c>
      <c r="H1774" s="610">
        <v>179.98493333333329</v>
      </c>
      <c r="I1774" s="611" t="s">
        <v>669</v>
      </c>
      <c r="J1774" s="616">
        <f>29500+1.007+1500+500-1-500-0.01</f>
        <v>30999.997000000003</v>
      </c>
      <c r="K1774" s="613">
        <f>28000+1500-500</f>
        <v>29000</v>
      </c>
      <c r="L1774" s="616">
        <v>30050</v>
      </c>
      <c r="M1774" s="616">
        <v>30500</v>
      </c>
      <c r="N1774" s="614">
        <v>27426.975030000001</v>
      </c>
      <c r="O1774" s="648"/>
      <c r="P1774" s="648"/>
      <c r="R1774" s="626"/>
      <c r="T1774" s="633"/>
      <c r="U1774" s="634"/>
      <c r="Z1774" s="216"/>
    </row>
    <row r="1775" spans="2:26" ht="15.75" customHeight="1">
      <c r="B1775" s="606" t="s">
        <v>347</v>
      </c>
      <c r="C1775" s="655">
        <v>7</v>
      </c>
      <c r="D1775" s="615">
        <v>320</v>
      </c>
      <c r="E1775" s="608">
        <v>997200</v>
      </c>
      <c r="F1775" s="609" t="s">
        <v>827</v>
      </c>
      <c r="G1775" s="610">
        <v>0</v>
      </c>
      <c r="H1775" s="610">
        <v>0</v>
      </c>
      <c r="I1775" s="611" t="s">
        <v>669</v>
      </c>
      <c r="J1775" s="616">
        <v>4450</v>
      </c>
      <c r="K1775" s="613">
        <v>3700</v>
      </c>
      <c r="L1775" s="616">
        <v>4565</v>
      </c>
      <c r="M1775" s="616">
        <v>4715</v>
      </c>
      <c r="N1775" s="614">
        <v>3666.44236</v>
      </c>
      <c r="O1775" s="648"/>
      <c r="P1775" s="648"/>
      <c r="R1775" s="626"/>
      <c r="T1775" s="633"/>
      <c r="U1775" s="634"/>
      <c r="Z1775" s="216"/>
    </row>
    <row r="1776" spans="2:26" ht="19.149999999999999" customHeight="1">
      <c r="B1776" s="606"/>
      <c r="C1776" s="852"/>
      <c r="D1776" s="618"/>
      <c r="E1776" s="619" t="s">
        <v>346</v>
      </c>
      <c r="F1776" s="620" t="s">
        <v>1087</v>
      </c>
      <c r="G1776" s="621">
        <f>SUM(G1774:G1775)</f>
        <v>179.98</v>
      </c>
      <c r="H1776" s="621">
        <f>SUM(H1774:H1775)</f>
        <v>179.98493333333329</v>
      </c>
      <c r="I1776" s="622"/>
      <c r="J1776" s="623">
        <f>SUM(J1774:J1775)</f>
        <v>35449.997000000003</v>
      </c>
      <c r="K1776" s="624">
        <f>SUM(K1774:K1775)</f>
        <v>32700</v>
      </c>
      <c r="L1776" s="623">
        <f>SUM(L1774:L1775)</f>
        <v>34615</v>
      </c>
      <c r="M1776" s="623">
        <f>SUM(M1774:M1775)</f>
        <v>35215</v>
      </c>
      <c r="N1776" s="625">
        <f>SUM(N1774:N1775)</f>
        <v>31093.417390000002</v>
      </c>
      <c r="O1776" s="648"/>
      <c r="P1776" s="648"/>
      <c r="R1776" s="626"/>
      <c r="T1776" s="633"/>
      <c r="U1776" s="632"/>
    </row>
    <row r="1777" spans="1:26" ht="19.149999999999999" customHeight="1">
      <c r="B1777" s="606"/>
      <c r="C1777" s="684"/>
      <c r="D1777" s="705"/>
      <c r="E1777" s="695" t="s">
        <v>281</v>
      </c>
      <c r="F1777" s="687" t="s">
        <v>1281</v>
      </c>
      <c r="G1777" s="853"/>
      <c r="H1777" s="854"/>
      <c r="I1777" s="804"/>
      <c r="J1777" s="805"/>
      <c r="K1777" s="806"/>
      <c r="L1777" s="805"/>
      <c r="M1777" s="805"/>
      <c r="N1777" s="807"/>
      <c r="O1777" s="648"/>
      <c r="P1777" s="648"/>
      <c r="R1777" s="626"/>
      <c r="T1777" s="633"/>
      <c r="U1777" s="632"/>
    </row>
    <row r="1778" spans="1:26" ht="19.399999999999999" customHeight="1">
      <c r="B1778" s="606" t="s">
        <v>840</v>
      </c>
      <c r="C1778" s="654">
        <v>7</v>
      </c>
      <c r="D1778" s="607">
        <v>910</v>
      </c>
      <c r="E1778" s="608">
        <v>998000</v>
      </c>
      <c r="F1778" s="609" t="s">
        <v>404</v>
      </c>
      <c r="G1778" s="855"/>
      <c r="H1778" s="856"/>
      <c r="I1778" s="611" t="s">
        <v>175</v>
      </c>
      <c r="J1778" s="616">
        <v>0</v>
      </c>
      <c r="K1778" s="613">
        <v>0</v>
      </c>
      <c r="L1778" s="616">
        <v>0</v>
      </c>
      <c r="M1778" s="616">
        <v>0</v>
      </c>
      <c r="N1778" s="614">
        <v>20000</v>
      </c>
      <c r="O1778" s="648"/>
      <c r="P1778" s="648"/>
      <c r="R1778" s="626"/>
      <c r="T1778" s="633"/>
      <c r="U1778" s="634"/>
    </row>
    <row r="1779" spans="1:26" ht="19.399999999999999" customHeight="1">
      <c r="B1779" s="606"/>
      <c r="C1779" s="852"/>
      <c r="D1779" s="618"/>
      <c r="E1779" s="619" t="s">
        <v>281</v>
      </c>
      <c r="F1779" s="620" t="s">
        <v>215</v>
      </c>
      <c r="G1779" s="857"/>
      <c r="H1779" s="858"/>
      <c r="I1779" s="717"/>
      <c r="J1779" s="718">
        <f>SUM(J1778:J1778)</f>
        <v>0</v>
      </c>
      <c r="K1779" s="719">
        <f>SUM(K1777:K1778)</f>
        <v>0</v>
      </c>
      <c r="L1779" s="718">
        <f>SUM(L1778:L1778)</f>
        <v>0</v>
      </c>
      <c r="M1779" s="718">
        <f>SUM(M1778:M1778)</f>
        <v>0</v>
      </c>
      <c r="N1779" s="859">
        <f>SUM(N1778:N1778)</f>
        <v>20000</v>
      </c>
      <c r="O1779" s="648"/>
      <c r="P1779" s="648"/>
      <c r="R1779" s="626"/>
      <c r="T1779" s="633"/>
      <c r="U1779" s="632"/>
    </row>
    <row r="1780" spans="1:26" ht="19.399999999999999" customHeight="1">
      <c r="B1780" s="606"/>
      <c r="C1780" s="852"/>
      <c r="D1780" s="618"/>
      <c r="E1780" s="619" t="s">
        <v>330</v>
      </c>
      <c r="F1780" s="620" t="s">
        <v>227</v>
      </c>
      <c r="G1780" s="621">
        <f>SUMIF($E$1750:$E$1779,"*.",G1750:G1779)</f>
        <v>182.31</v>
      </c>
      <c r="H1780" s="621">
        <f>SUMIF($E$1750:$E$1779,"*.",H1750:H1779)</f>
        <v>179.98493333333329</v>
      </c>
      <c r="I1780" s="622"/>
      <c r="J1780" s="623">
        <f>SUMIF($E$1750:$E$1779,"*.",J1750:J1779)</f>
        <v>115999.997</v>
      </c>
      <c r="K1780" s="624">
        <f>SUMIF($E$1750:$E$1779,"*.",K1750:K1779)</f>
        <v>189054</v>
      </c>
      <c r="L1780" s="623">
        <f>SUMIF($E$1750:$E$1779,"*.",L1750:L1779)</f>
        <v>189203</v>
      </c>
      <c r="M1780" s="623">
        <f>SUMIF($E$1750:$E$1779,"*.",M1750:M1779)</f>
        <v>112572</v>
      </c>
      <c r="N1780" s="625">
        <f>SUMIF($E$1750:$E$1779,"*.",N1750:N1779)</f>
        <v>132491.83126000001</v>
      </c>
      <c r="O1780" s="648"/>
      <c r="P1780" s="648"/>
      <c r="R1780" s="626"/>
      <c r="T1780" s="633"/>
      <c r="U1780" s="632"/>
    </row>
    <row r="1781" spans="1:26" ht="19.399999999999999" customHeight="1" thickBot="1">
      <c r="B1781" s="606"/>
      <c r="C1781" s="860"/>
      <c r="D1781" s="735"/>
      <c r="E1781" s="736" t="s">
        <v>743</v>
      </c>
      <c r="F1781" s="737" t="s">
        <v>915</v>
      </c>
      <c r="G1781" s="738">
        <f>SUMIF($E$1642:$E$1780,"??.",G1642:G1780)</f>
        <v>262.46000000000004</v>
      </c>
      <c r="H1781" s="738">
        <f>SUMIF($E$1642:$E$1780,"??.",H1642:H1780)</f>
        <v>262.93299999999994</v>
      </c>
      <c r="I1781" s="739"/>
      <c r="J1781" s="740">
        <f>SUMIF($E$1642:$E$1780,"??.",J1642:J1780)</f>
        <v>149295.997</v>
      </c>
      <c r="K1781" s="741">
        <f>SUMIF($E$1642:$E$1780,"??.",K1642:K1780)</f>
        <v>223140</v>
      </c>
      <c r="L1781" s="740">
        <f>SUMIF($E$1642:$E$1780,"??.",L1642:L1780)</f>
        <v>225120</v>
      </c>
      <c r="M1781" s="740">
        <f>SUMIF($E$1642:$E$1780,"??.",M1642:M1780)</f>
        <v>149806</v>
      </c>
      <c r="N1781" s="742">
        <f>SUMIF($E$1642:$E$1780,"??.",N1642:N1780)</f>
        <v>167587.29726000002</v>
      </c>
      <c r="O1781" s="648"/>
      <c r="P1781" s="648"/>
      <c r="R1781" s="626"/>
      <c r="T1781" s="633"/>
      <c r="U1781" s="632"/>
    </row>
    <row r="1782" spans="1:26" ht="25.15" customHeight="1" thickTop="1" thickBot="1">
      <c r="B1782" s="861"/>
      <c r="C1782" s="862"/>
      <c r="D1782" s="863"/>
      <c r="E1782" s="864" t="s">
        <v>744</v>
      </c>
      <c r="F1782" s="1035" t="s">
        <v>2278</v>
      </c>
      <c r="G1782" s="865">
        <f>SUMIF($E$3:$E$1781,"?.",G3:G1781)</f>
        <v>2569.7600000000002</v>
      </c>
      <c r="H1782" s="865">
        <f>SUMIF($E$3:$E$1781,"?.",H3:H1781)</f>
        <v>2346.6445499999995</v>
      </c>
      <c r="I1782" s="866" t="s">
        <v>348</v>
      </c>
      <c r="J1782" s="867">
        <f>SUMIF($E$3:$E$1781,"?.",J3:J1781)</f>
        <v>1029999.997</v>
      </c>
      <c r="K1782" s="868">
        <f>SUMIF($E$3:$E$1781,"?.",K3:K1781)</f>
        <v>1044970</v>
      </c>
      <c r="L1782" s="867">
        <f>SUMIF($E$3:$E$1781,"?.",L3:L1781)</f>
        <v>1076048</v>
      </c>
      <c r="M1782" s="867">
        <f>SUMIF($E$3:$E$1781,"?.",M3:M1781)</f>
        <v>1000750</v>
      </c>
      <c r="N1782" s="869">
        <f>SUMIF($E$3:$E$1781,"?.",N3:N1781)</f>
        <v>948852.94904999982</v>
      </c>
      <c r="O1782" s="648"/>
      <c r="P1782" s="648"/>
      <c r="R1782" s="626"/>
      <c r="T1782" s="633"/>
      <c r="U1782" s="641"/>
    </row>
    <row r="1783" spans="1:26" ht="19.399999999999999" customHeight="1">
      <c r="B1783" s="682"/>
      <c r="E1783" s="872"/>
      <c r="F1783" s="873"/>
      <c r="G1783" s="874"/>
      <c r="H1783" s="874"/>
      <c r="I1783" s="875"/>
      <c r="J1783" s="876"/>
      <c r="K1783" s="875"/>
      <c r="L1783" s="875"/>
      <c r="M1783" s="875"/>
      <c r="N1783" s="875"/>
      <c r="P1783" s="648"/>
      <c r="U1783" s="642"/>
      <c r="Z1783" s="216"/>
    </row>
    <row r="1784" spans="1:26" ht="19.399999999999999" customHeight="1">
      <c r="B1784" s="878"/>
      <c r="E1784" s="872"/>
      <c r="F1784" s="879"/>
      <c r="G1784" s="880"/>
      <c r="H1784" s="880"/>
      <c r="J1784" s="882"/>
      <c r="K1784" s="883"/>
      <c r="L1784" s="884"/>
      <c r="M1784" s="884"/>
      <c r="P1784" s="648"/>
      <c r="U1784" s="595"/>
    </row>
    <row r="1785" spans="1:26" ht="19.149999999999999" customHeight="1">
      <c r="A1785" s="886"/>
      <c r="B1785" s="887"/>
      <c r="C1785" s="888"/>
      <c r="D1785" s="889"/>
      <c r="E1785" s="890"/>
      <c r="F1785" s="891"/>
      <c r="G1785" s="880"/>
      <c r="I1785" s="893"/>
      <c r="J1785" s="894"/>
      <c r="K1785" s="895"/>
      <c r="L1785" s="896"/>
      <c r="M1785" s="896"/>
      <c r="N1785" s="896"/>
      <c r="O1785" s="682"/>
      <c r="P1785" s="896"/>
      <c r="U1785" s="596"/>
    </row>
    <row r="1786" spans="1:26" ht="19.149999999999999" customHeight="1">
      <c r="A1786" s="886"/>
      <c r="B1786" s="887"/>
      <c r="C1786" s="888"/>
      <c r="D1786" s="889"/>
      <c r="E1786" s="890"/>
      <c r="F1786" s="891"/>
      <c r="G1786" s="897"/>
      <c r="H1786" s="897"/>
      <c r="I1786" s="897"/>
      <c r="J1786" s="897"/>
      <c r="K1786" s="897"/>
      <c r="L1786" s="897"/>
      <c r="M1786" s="897"/>
      <c r="N1786" s="897"/>
      <c r="O1786" s="897"/>
      <c r="P1786" s="897"/>
      <c r="U1786" s="592"/>
    </row>
    <row r="1787" spans="1:26" ht="19.149999999999999" customHeight="1">
      <c r="A1787" s="886"/>
      <c r="B1787" s="887"/>
      <c r="C1787" s="888"/>
      <c r="D1787" s="889"/>
      <c r="E1787" s="890"/>
      <c r="F1787" s="891"/>
      <c r="G1787" s="880"/>
      <c r="I1787" s="893"/>
      <c r="J1787" s="894"/>
      <c r="K1787" s="895"/>
      <c r="L1787" s="895"/>
      <c r="M1787" s="895"/>
      <c r="N1787" s="895"/>
      <c r="O1787" s="895"/>
      <c r="P1787" s="648"/>
      <c r="U1787" s="596"/>
    </row>
    <row r="1788" spans="1:26" ht="19.149999999999999" customHeight="1">
      <c r="A1788" s="886"/>
      <c r="B1788" s="887"/>
      <c r="C1788" s="888"/>
      <c r="D1788" s="889"/>
      <c r="E1788" s="890"/>
      <c r="F1788" s="891"/>
      <c r="G1788" s="880"/>
      <c r="I1788" s="893"/>
      <c r="J1788" s="894"/>
      <c r="K1788" s="895"/>
      <c r="L1788" s="895"/>
      <c r="M1788" s="895"/>
      <c r="N1788" s="896"/>
      <c r="O1788" s="682"/>
      <c r="P1788" s="648"/>
      <c r="U1788" s="596"/>
    </row>
    <row r="1789" spans="1:26" ht="19.149999999999999" customHeight="1">
      <c r="A1789" s="886"/>
      <c r="B1789" s="887"/>
      <c r="C1789" s="888"/>
      <c r="D1789" s="889"/>
      <c r="E1789" s="890"/>
      <c r="F1789" s="891"/>
      <c r="G1789" s="880"/>
      <c r="I1789" s="893"/>
      <c r="J1789" s="894"/>
      <c r="K1789" s="895"/>
      <c r="L1789" s="895"/>
      <c r="M1789" s="895"/>
      <c r="N1789" s="898"/>
      <c r="O1789" s="682"/>
      <c r="P1789" s="648"/>
      <c r="U1789" s="596"/>
    </row>
    <row r="1790" spans="1:26" ht="19.149999999999999" customHeight="1">
      <c r="A1790" s="886"/>
      <c r="B1790" s="887"/>
      <c r="C1790" s="888"/>
      <c r="D1790" s="889"/>
      <c r="E1790" s="890"/>
      <c r="F1790" s="891"/>
      <c r="G1790" s="880"/>
      <c r="I1790" s="893"/>
      <c r="J1790" s="894"/>
      <c r="K1790" s="895"/>
      <c r="L1790" s="895"/>
      <c r="M1790" s="895"/>
      <c r="N1790" s="898"/>
      <c r="O1790" s="682"/>
      <c r="P1790" s="648"/>
      <c r="U1790" s="596"/>
    </row>
    <row r="1791" spans="1:26" ht="19.149999999999999" customHeight="1">
      <c r="A1791" s="886"/>
      <c r="B1791" s="887"/>
      <c r="C1791" s="888"/>
      <c r="D1791" s="889"/>
      <c r="E1791" s="890"/>
      <c r="F1791" s="891"/>
      <c r="G1791" s="880"/>
      <c r="I1791" s="893"/>
      <c r="J1791" s="894"/>
      <c r="K1791" s="895"/>
      <c r="L1791" s="895"/>
      <c r="M1791" s="895"/>
      <c r="N1791" s="898"/>
      <c r="O1791" s="682"/>
      <c r="P1791" s="648"/>
      <c r="U1791" s="596"/>
    </row>
    <row r="1792" spans="1:26" ht="19.149999999999999" customHeight="1">
      <c r="A1792" s="886"/>
      <c r="B1792" s="887"/>
      <c r="C1792" s="888"/>
      <c r="D1792" s="889"/>
      <c r="E1792" s="890"/>
      <c r="F1792" s="891"/>
      <c r="G1792" s="880"/>
      <c r="I1792" s="893"/>
      <c r="J1792" s="894"/>
      <c r="K1792" s="895"/>
      <c r="L1792" s="895"/>
      <c r="M1792" s="895"/>
      <c r="N1792" s="898"/>
      <c r="O1792" s="682"/>
      <c r="P1792" s="648"/>
      <c r="U1792" s="596"/>
    </row>
    <row r="1793" spans="1:21" ht="19.149999999999999" customHeight="1">
      <c r="A1793" s="886"/>
      <c r="B1793" s="887"/>
      <c r="C1793" s="888"/>
      <c r="D1793" s="889"/>
      <c r="E1793" s="890"/>
      <c r="F1793" s="891"/>
      <c r="G1793" s="880"/>
      <c r="I1793" s="893"/>
      <c r="J1793" s="894"/>
      <c r="K1793" s="895"/>
      <c r="L1793" s="895"/>
      <c r="M1793" s="895"/>
      <c r="N1793" s="898"/>
      <c r="O1793" s="682"/>
      <c r="P1793" s="648"/>
      <c r="U1793" s="596"/>
    </row>
    <row r="1794" spans="1:21" ht="19.149999999999999" customHeight="1">
      <c r="A1794" s="886"/>
      <c r="B1794" s="887"/>
      <c r="C1794" s="888"/>
      <c r="D1794" s="889"/>
      <c r="E1794" s="890"/>
      <c r="F1794" s="891"/>
      <c r="G1794" s="880"/>
      <c r="I1794" s="893"/>
      <c r="J1794" s="894"/>
      <c r="K1794" s="895"/>
      <c r="L1794" s="895"/>
      <c r="M1794" s="895"/>
      <c r="N1794" s="898"/>
      <c r="O1794" s="682"/>
      <c r="P1794" s="648"/>
      <c r="U1794" s="596"/>
    </row>
    <row r="1795" spans="1:21" ht="19.149999999999999" customHeight="1">
      <c r="A1795" s="886"/>
      <c r="B1795" s="887"/>
      <c r="C1795" s="888"/>
      <c r="D1795" s="889"/>
      <c r="E1795" s="890"/>
      <c r="F1795" s="891"/>
      <c r="I1795" s="893"/>
      <c r="J1795" s="894"/>
      <c r="K1795" s="895"/>
      <c r="L1795" s="895"/>
      <c r="M1795" s="895"/>
      <c r="N1795" s="898"/>
      <c r="O1795" s="682"/>
      <c r="P1795" s="648"/>
      <c r="U1795" s="596"/>
    </row>
    <row r="1796" spans="1:21" ht="19.149999999999999" customHeight="1">
      <c r="A1796" s="886"/>
      <c r="B1796" s="887"/>
      <c r="C1796" s="888"/>
      <c r="D1796" s="889"/>
      <c r="E1796" s="890"/>
      <c r="F1796" s="891"/>
      <c r="I1796" s="893"/>
      <c r="J1796" s="894"/>
      <c r="K1796" s="895"/>
      <c r="L1796" s="895"/>
      <c r="M1796" s="895"/>
      <c r="N1796" s="898"/>
      <c r="O1796" s="682"/>
      <c r="P1796" s="648"/>
      <c r="U1796" s="596"/>
    </row>
    <row r="1797" spans="1:21" ht="19.149999999999999" customHeight="1">
      <c r="A1797" s="886"/>
      <c r="B1797" s="887"/>
      <c r="C1797" s="888"/>
      <c r="D1797" s="889"/>
      <c r="E1797" s="890"/>
      <c r="F1797" s="891"/>
      <c r="I1797" s="893"/>
      <c r="J1797" s="894"/>
      <c r="K1797" s="895"/>
      <c r="L1797" s="895"/>
      <c r="M1797" s="895"/>
      <c r="N1797" s="898"/>
      <c r="O1797" s="682"/>
      <c r="P1797" s="648"/>
      <c r="U1797" s="596"/>
    </row>
    <row r="1798" spans="1:21" ht="19.149999999999999" customHeight="1">
      <c r="A1798" s="886"/>
      <c r="B1798" s="887"/>
      <c r="C1798" s="888"/>
      <c r="D1798" s="889"/>
      <c r="E1798" s="890"/>
      <c r="F1798" s="891"/>
      <c r="I1798" s="893"/>
      <c r="J1798" s="894"/>
      <c r="K1798" s="895"/>
      <c r="L1798" s="895"/>
      <c r="M1798" s="895"/>
      <c r="N1798" s="898"/>
      <c r="O1798" s="682"/>
      <c r="P1798" s="648"/>
      <c r="U1798" s="596"/>
    </row>
    <row r="1799" spans="1:21" ht="19.149999999999999" customHeight="1">
      <c r="A1799" s="886"/>
      <c r="B1799" s="887"/>
      <c r="C1799" s="888"/>
      <c r="D1799" s="889"/>
      <c r="E1799" s="890"/>
      <c r="F1799" s="891"/>
      <c r="I1799" s="893"/>
      <c r="J1799" s="894"/>
      <c r="K1799" s="895"/>
      <c r="L1799" s="895"/>
      <c r="M1799" s="895"/>
      <c r="N1799" s="898"/>
      <c r="O1799" s="682"/>
      <c r="P1799" s="648"/>
      <c r="U1799" s="596"/>
    </row>
    <row r="1800" spans="1:21" ht="19.149999999999999" customHeight="1">
      <c r="A1800" s="886"/>
      <c r="B1800" s="887"/>
      <c r="C1800" s="888"/>
      <c r="D1800" s="889"/>
      <c r="E1800" s="890"/>
      <c r="F1800" s="891"/>
      <c r="I1800" s="893"/>
      <c r="J1800" s="894"/>
      <c r="K1800" s="895"/>
      <c r="L1800" s="895"/>
      <c r="M1800" s="895"/>
      <c r="N1800" s="898"/>
      <c r="O1800" s="682"/>
      <c r="P1800" s="648"/>
      <c r="U1800" s="596"/>
    </row>
    <row r="1801" spans="1:21" ht="19.149999999999999" customHeight="1">
      <c r="A1801" s="886"/>
      <c r="B1801" s="887"/>
      <c r="C1801" s="888"/>
      <c r="D1801" s="889"/>
      <c r="E1801" s="890"/>
      <c r="F1801" s="891"/>
      <c r="I1801" s="893"/>
      <c r="J1801" s="894"/>
      <c r="K1801" s="895"/>
      <c r="L1801" s="895"/>
      <c r="M1801" s="895"/>
      <c r="N1801" s="898"/>
      <c r="O1801" s="682"/>
      <c r="P1801" s="648"/>
      <c r="U1801" s="596"/>
    </row>
    <row r="1802" spans="1:21" ht="19.149999999999999" customHeight="1">
      <c r="A1802" s="886"/>
      <c r="B1802" s="887"/>
      <c r="C1802" s="888"/>
      <c r="D1802" s="889"/>
      <c r="E1802" s="890"/>
      <c r="F1802" s="891"/>
      <c r="I1802" s="893"/>
      <c r="J1802" s="894"/>
      <c r="K1802" s="895"/>
      <c r="L1802" s="895"/>
      <c r="M1802" s="895"/>
      <c r="N1802" s="898"/>
      <c r="O1802" s="682"/>
      <c r="P1802" s="648"/>
      <c r="U1802" s="596"/>
    </row>
    <row r="1803" spans="1:21" ht="19.149999999999999" customHeight="1">
      <c r="A1803" s="886"/>
      <c r="B1803" s="887"/>
      <c r="C1803" s="888"/>
      <c r="D1803" s="889"/>
      <c r="E1803" s="890"/>
      <c r="F1803" s="891"/>
      <c r="I1803" s="893"/>
      <c r="J1803" s="894"/>
      <c r="K1803" s="895"/>
      <c r="L1803" s="895"/>
      <c r="M1803" s="895"/>
      <c r="N1803" s="898"/>
      <c r="O1803" s="682"/>
      <c r="P1803" s="648"/>
      <c r="U1803" s="596"/>
    </row>
    <row r="1804" spans="1:21" ht="19.149999999999999" customHeight="1">
      <c r="A1804" s="886"/>
      <c r="B1804" s="887"/>
      <c r="C1804" s="888"/>
      <c r="D1804" s="889"/>
      <c r="E1804" s="890"/>
      <c r="F1804" s="891"/>
      <c r="I1804" s="893"/>
      <c r="J1804" s="894"/>
      <c r="K1804" s="895"/>
      <c r="L1804" s="895"/>
      <c r="M1804" s="895"/>
      <c r="N1804" s="898"/>
      <c r="O1804" s="682"/>
      <c r="P1804" s="648"/>
      <c r="U1804" s="596"/>
    </row>
    <row r="1805" spans="1:21" ht="19.149999999999999" customHeight="1">
      <c r="A1805" s="886"/>
      <c r="B1805" s="887"/>
      <c r="C1805" s="888"/>
      <c r="D1805" s="889"/>
      <c r="E1805" s="890"/>
      <c r="F1805" s="891"/>
      <c r="I1805" s="893"/>
      <c r="J1805" s="894"/>
      <c r="K1805" s="895"/>
      <c r="L1805" s="895"/>
      <c r="M1805" s="895"/>
      <c r="N1805" s="898"/>
      <c r="O1805" s="682"/>
      <c r="P1805" s="648"/>
      <c r="U1805" s="596"/>
    </row>
    <row r="1806" spans="1:21" ht="19.149999999999999" customHeight="1">
      <c r="A1806" s="886"/>
      <c r="B1806" s="887"/>
      <c r="C1806" s="888"/>
      <c r="D1806" s="889"/>
      <c r="E1806" s="890"/>
      <c r="F1806" s="891"/>
      <c r="I1806" s="893"/>
      <c r="J1806" s="894"/>
      <c r="K1806" s="895"/>
      <c r="L1806" s="895"/>
      <c r="M1806" s="895"/>
      <c r="N1806" s="898"/>
      <c r="O1806" s="682"/>
      <c r="P1806" s="648"/>
      <c r="U1806" s="596"/>
    </row>
    <row r="1807" spans="1:21" ht="19.149999999999999" customHeight="1">
      <c r="A1807" s="886"/>
      <c r="B1807" s="887"/>
      <c r="C1807" s="888"/>
      <c r="D1807" s="889"/>
      <c r="E1807" s="890"/>
      <c r="F1807" s="891"/>
      <c r="I1807" s="893"/>
      <c r="J1807" s="894"/>
      <c r="K1807" s="895"/>
      <c r="L1807" s="895"/>
      <c r="M1807" s="895"/>
      <c r="N1807" s="898"/>
      <c r="O1807" s="682"/>
      <c r="P1807" s="648"/>
      <c r="U1807" s="596"/>
    </row>
    <row r="1808" spans="1:21" ht="19.149999999999999" customHeight="1">
      <c r="A1808" s="886"/>
      <c r="B1808" s="887"/>
      <c r="C1808" s="888"/>
      <c r="D1808" s="889"/>
      <c r="E1808" s="890"/>
      <c r="F1808" s="891"/>
      <c r="I1808" s="893"/>
      <c r="J1808" s="894"/>
      <c r="K1808" s="895"/>
      <c r="L1808" s="895"/>
      <c r="M1808" s="895"/>
      <c r="N1808" s="898"/>
      <c r="O1808" s="682"/>
      <c r="P1808" s="648"/>
      <c r="U1808" s="596"/>
    </row>
    <row r="1809" spans="1:21" ht="19.149999999999999" customHeight="1">
      <c r="A1809" s="886"/>
      <c r="B1809" s="887"/>
      <c r="C1809" s="888"/>
      <c r="D1809" s="889"/>
      <c r="E1809" s="890"/>
      <c r="F1809" s="891"/>
      <c r="I1809" s="893"/>
      <c r="J1809" s="894"/>
      <c r="K1809" s="895"/>
      <c r="L1809" s="895"/>
      <c r="M1809" s="895"/>
      <c r="N1809" s="898"/>
      <c r="O1809" s="682"/>
      <c r="P1809" s="648"/>
      <c r="U1809" s="596"/>
    </row>
    <row r="1810" spans="1:21" ht="19.149999999999999" customHeight="1">
      <c r="A1810" s="886"/>
      <c r="B1810" s="887"/>
      <c r="C1810" s="888"/>
      <c r="D1810" s="889"/>
      <c r="E1810" s="890"/>
      <c r="F1810" s="891"/>
      <c r="I1810" s="893"/>
      <c r="J1810" s="894"/>
      <c r="K1810" s="895"/>
      <c r="L1810" s="895"/>
      <c r="M1810" s="895"/>
      <c r="N1810" s="898"/>
      <c r="O1810" s="682"/>
      <c r="P1810" s="648"/>
      <c r="U1810" s="596"/>
    </row>
    <row r="1811" spans="1:21" ht="19.149999999999999" customHeight="1">
      <c r="A1811" s="886"/>
      <c r="B1811" s="887"/>
      <c r="C1811" s="888"/>
      <c r="D1811" s="889"/>
      <c r="E1811" s="890"/>
      <c r="F1811" s="891"/>
      <c r="I1811" s="893"/>
      <c r="J1811" s="894"/>
      <c r="K1811" s="895"/>
      <c r="L1811" s="895"/>
      <c r="M1811" s="895"/>
      <c r="N1811" s="898"/>
      <c r="O1811" s="682"/>
      <c r="P1811" s="648"/>
      <c r="U1811" s="596"/>
    </row>
    <row r="1812" spans="1:21" ht="19.149999999999999" customHeight="1">
      <c r="A1812" s="886"/>
      <c r="B1812" s="887"/>
      <c r="C1812" s="888"/>
      <c r="D1812" s="889"/>
      <c r="E1812" s="890"/>
      <c r="F1812" s="891"/>
      <c r="I1812" s="893"/>
      <c r="J1812" s="894"/>
      <c r="K1812" s="895"/>
      <c r="L1812" s="895"/>
      <c r="M1812" s="895"/>
      <c r="N1812" s="898"/>
      <c r="O1812" s="682"/>
      <c r="P1812" s="648"/>
      <c r="U1812" s="596"/>
    </row>
    <row r="1813" spans="1:21" ht="19.149999999999999" customHeight="1">
      <c r="A1813" s="886"/>
      <c r="B1813" s="887"/>
      <c r="C1813" s="888"/>
      <c r="D1813" s="889"/>
      <c r="E1813" s="890"/>
      <c r="F1813" s="891"/>
      <c r="I1813" s="893"/>
      <c r="J1813" s="894"/>
      <c r="K1813" s="895"/>
      <c r="L1813" s="895"/>
      <c r="M1813" s="895"/>
      <c r="N1813" s="898"/>
      <c r="O1813" s="682"/>
      <c r="P1813" s="648"/>
      <c r="U1813" s="596"/>
    </row>
    <row r="1814" spans="1:21" ht="19.149999999999999" customHeight="1">
      <c r="A1814" s="886"/>
      <c r="B1814" s="887"/>
      <c r="C1814" s="888"/>
      <c r="D1814" s="889"/>
      <c r="E1814" s="890"/>
      <c r="F1814" s="891"/>
      <c r="I1814" s="893"/>
      <c r="J1814" s="894"/>
      <c r="K1814" s="895"/>
      <c r="L1814" s="895"/>
      <c r="M1814" s="895"/>
      <c r="N1814" s="898"/>
      <c r="O1814" s="682"/>
      <c r="P1814" s="648"/>
      <c r="U1814" s="596"/>
    </row>
    <row r="1815" spans="1:21" ht="19.149999999999999" customHeight="1">
      <c r="A1815" s="886"/>
      <c r="B1815" s="887"/>
      <c r="C1815" s="888"/>
      <c r="D1815" s="889"/>
      <c r="E1815" s="890"/>
      <c r="F1815" s="891"/>
      <c r="I1815" s="893"/>
      <c r="J1815" s="894"/>
      <c r="K1815" s="895"/>
      <c r="L1815" s="895"/>
      <c r="M1815" s="895"/>
      <c r="N1815" s="898"/>
      <c r="O1815" s="682"/>
      <c r="U1815" s="596"/>
    </row>
    <row r="1816" spans="1:21" ht="19.149999999999999" customHeight="1">
      <c r="A1816" s="886"/>
      <c r="B1816" s="887"/>
      <c r="C1816" s="888"/>
      <c r="D1816" s="889"/>
      <c r="E1816" s="890"/>
      <c r="F1816" s="891"/>
      <c r="I1816" s="893"/>
      <c r="J1816" s="894"/>
      <c r="K1816" s="895"/>
      <c r="L1816" s="895"/>
      <c r="M1816" s="895"/>
      <c r="N1816" s="898"/>
      <c r="O1816" s="682"/>
      <c r="U1816" s="596"/>
    </row>
    <row r="1817" spans="1:21" ht="19.149999999999999" customHeight="1">
      <c r="A1817" s="886"/>
      <c r="B1817" s="887"/>
      <c r="C1817" s="888"/>
      <c r="D1817" s="889"/>
      <c r="E1817" s="890"/>
      <c r="F1817" s="891"/>
      <c r="I1817" s="893"/>
      <c r="J1817" s="894"/>
      <c r="K1817" s="895"/>
      <c r="L1817" s="895"/>
      <c r="M1817" s="895"/>
      <c r="N1817" s="898"/>
      <c r="O1817" s="682"/>
      <c r="U1817" s="596"/>
    </row>
    <row r="1818" spans="1:21" ht="19.149999999999999" customHeight="1">
      <c r="A1818" s="886"/>
      <c r="B1818" s="887"/>
      <c r="C1818" s="888"/>
      <c r="D1818" s="889"/>
      <c r="E1818" s="890"/>
      <c r="F1818" s="891"/>
      <c r="I1818" s="893"/>
      <c r="J1818" s="894"/>
      <c r="K1818" s="895"/>
      <c r="L1818" s="895"/>
      <c r="M1818" s="895"/>
      <c r="N1818" s="898"/>
      <c r="O1818" s="682"/>
      <c r="U1818" s="596"/>
    </row>
    <row r="1819" spans="1:21" ht="19.149999999999999" customHeight="1">
      <c r="A1819" s="886"/>
      <c r="B1819" s="887"/>
      <c r="C1819" s="888"/>
      <c r="D1819" s="889"/>
      <c r="E1819" s="890"/>
      <c r="F1819" s="891"/>
      <c r="I1819" s="893"/>
      <c r="J1819" s="894"/>
      <c r="K1819" s="895"/>
      <c r="L1819" s="895"/>
      <c r="M1819" s="895"/>
      <c r="N1819" s="898"/>
      <c r="O1819" s="682"/>
      <c r="U1819" s="596"/>
    </row>
    <row r="1820" spans="1:21" ht="19.149999999999999" customHeight="1">
      <c r="A1820" s="886"/>
      <c r="B1820" s="887"/>
      <c r="C1820" s="888"/>
      <c r="D1820" s="889"/>
      <c r="E1820" s="890"/>
      <c r="F1820" s="891"/>
      <c r="I1820" s="893"/>
      <c r="J1820" s="894"/>
      <c r="K1820" s="895"/>
      <c r="L1820" s="895"/>
      <c r="M1820" s="895"/>
      <c r="N1820" s="898"/>
      <c r="O1820" s="682"/>
      <c r="U1820" s="596"/>
    </row>
    <row r="1821" spans="1:21" ht="19.149999999999999" customHeight="1">
      <c r="A1821" s="886"/>
      <c r="B1821" s="887"/>
      <c r="C1821" s="888"/>
      <c r="D1821" s="889"/>
      <c r="E1821" s="890"/>
      <c r="F1821" s="891"/>
      <c r="I1821" s="893"/>
      <c r="J1821" s="894"/>
      <c r="K1821" s="895"/>
      <c r="L1821" s="895"/>
      <c r="M1821" s="895"/>
      <c r="N1821" s="898"/>
      <c r="O1821" s="682"/>
      <c r="U1821" s="596"/>
    </row>
    <row r="1822" spans="1:21" ht="19.149999999999999" customHeight="1">
      <c r="A1822" s="886"/>
      <c r="B1822" s="887"/>
      <c r="C1822" s="888"/>
      <c r="D1822" s="889"/>
      <c r="E1822" s="890"/>
      <c r="F1822" s="891"/>
      <c r="I1822" s="893"/>
      <c r="J1822" s="894"/>
      <c r="K1822" s="895"/>
      <c r="L1822" s="895"/>
      <c r="M1822" s="895"/>
      <c r="N1822" s="898"/>
      <c r="O1822" s="682"/>
      <c r="U1822" s="596"/>
    </row>
    <row r="1823" spans="1:21" ht="19.149999999999999" customHeight="1">
      <c r="A1823" s="886"/>
      <c r="B1823" s="887"/>
      <c r="C1823" s="888"/>
      <c r="D1823" s="889"/>
      <c r="E1823" s="890"/>
      <c r="F1823" s="891"/>
      <c r="I1823" s="893"/>
      <c r="J1823" s="894"/>
      <c r="K1823" s="895"/>
      <c r="L1823" s="895"/>
      <c r="M1823" s="895"/>
      <c r="N1823" s="898"/>
      <c r="O1823" s="682"/>
      <c r="U1823" s="596"/>
    </row>
    <row r="1824" spans="1:21" ht="19.149999999999999" customHeight="1">
      <c r="A1824" s="886"/>
      <c r="B1824" s="887"/>
      <c r="C1824" s="888"/>
      <c r="D1824" s="889"/>
      <c r="E1824" s="890"/>
      <c r="F1824" s="891"/>
      <c r="I1824" s="893"/>
      <c r="J1824" s="894"/>
      <c r="K1824" s="895"/>
      <c r="L1824" s="895"/>
      <c r="M1824" s="895"/>
      <c r="N1824" s="898"/>
      <c r="O1824" s="682"/>
      <c r="U1824" s="596"/>
    </row>
    <row r="1825" spans="1:21" ht="19.149999999999999" customHeight="1">
      <c r="A1825" s="886"/>
      <c r="B1825" s="887"/>
      <c r="C1825" s="888"/>
      <c r="D1825" s="889"/>
      <c r="E1825" s="890"/>
      <c r="F1825" s="891"/>
      <c r="I1825" s="893"/>
      <c r="J1825" s="894"/>
      <c r="K1825" s="895"/>
      <c r="L1825" s="895"/>
      <c r="M1825" s="895"/>
      <c r="N1825" s="898"/>
      <c r="O1825" s="682"/>
      <c r="U1825" s="596"/>
    </row>
    <row r="1826" spans="1:21" ht="19.149999999999999" customHeight="1">
      <c r="A1826" s="886"/>
      <c r="B1826" s="887"/>
      <c r="C1826" s="888"/>
      <c r="D1826" s="889"/>
      <c r="E1826" s="890"/>
      <c r="F1826" s="891"/>
      <c r="I1826" s="893"/>
      <c r="J1826" s="894"/>
      <c r="K1826" s="895"/>
      <c r="L1826" s="895"/>
      <c r="M1826" s="895"/>
      <c r="N1826" s="898"/>
      <c r="O1826" s="682"/>
      <c r="U1826" s="596"/>
    </row>
    <row r="1827" spans="1:21" ht="19.149999999999999" customHeight="1">
      <c r="A1827" s="886"/>
      <c r="B1827" s="887"/>
      <c r="C1827" s="888"/>
      <c r="D1827" s="889"/>
      <c r="E1827" s="890"/>
      <c r="F1827" s="891"/>
      <c r="I1827" s="893"/>
      <c r="J1827" s="894"/>
      <c r="K1827" s="895"/>
      <c r="L1827" s="895"/>
      <c r="M1827" s="895"/>
      <c r="N1827" s="898"/>
      <c r="O1827" s="682"/>
      <c r="U1827" s="596"/>
    </row>
    <row r="1828" spans="1:21" ht="19.149999999999999" customHeight="1">
      <c r="A1828" s="886"/>
      <c r="B1828" s="887"/>
      <c r="C1828" s="888"/>
      <c r="D1828" s="889"/>
      <c r="E1828" s="890"/>
      <c r="F1828" s="891"/>
      <c r="I1828" s="893"/>
      <c r="J1828" s="894"/>
      <c r="K1828" s="895"/>
      <c r="L1828" s="895"/>
      <c r="M1828" s="895"/>
      <c r="N1828" s="898"/>
      <c r="O1828" s="682"/>
      <c r="U1828" s="596"/>
    </row>
    <row r="1829" spans="1:21" ht="19.149999999999999" customHeight="1">
      <c r="A1829" s="886"/>
      <c r="B1829" s="887"/>
      <c r="C1829" s="888"/>
      <c r="D1829" s="889"/>
      <c r="E1829" s="890"/>
      <c r="F1829" s="891"/>
      <c r="I1829" s="893"/>
      <c r="J1829" s="894"/>
      <c r="K1829" s="895"/>
      <c r="L1829" s="895"/>
      <c r="M1829" s="895"/>
      <c r="N1829" s="898"/>
      <c r="O1829" s="682"/>
      <c r="U1829" s="596"/>
    </row>
    <row r="1830" spans="1:21" ht="19.149999999999999" customHeight="1">
      <c r="A1830" s="886"/>
      <c r="B1830" s="887"/>
      <c r="C1830" s="888"/>
      <c r="D1830" s="889"/>
      <c r="E1830" s="890"/>
      <c r="F1830" s="891"/>
      <c r="I1830" s="893"/>
      <c r="J1830" s="894"/>
      <c r="K1830" s="895"/>
      <c r="L1830" s="895"/>
      <c r="M1830" s="895"/>
      <c r="O1830" s="682"/>
      <c r="U1830" s="596"/>
    </row>
    <row r="1831" spans="1:21" ht="19.149999999999999" customHeight="1">
      <c r="A1831" s="886"/>
      <c r="B1831" s="887"/>
      <c r="C1831" s="888"/>
      <c r="D1831" s="889"/>
      <c r="E1831" s="890"/>
      <c r="F1831" s="891"/>
      <c r="I1831" s="893"/>
      <c r="J1831" s="894"/>
      <c r="K1831" s="895"/>
      <c r="L1831" s="895"/>
      <c r="M1831" s="895"/>
      <c r="O1831" s="682"/>
      <c r="U1831" s="596"/>
    </row>
    <row r="1832" spans="1:21" ht="19.149999999999999" customHeight="1">
      <c r="A1832" s="886"/>
      <c r="B1832" s="887"/>
      <c r="C1832" s="888"/>
      <c r="D1832" s="889"/>
      <c r="E1832" s="890"/>
      <c r="F1832" s="891"/>
      <c r="I1832" s="893"/>
      <c r="J1832" s="894"/>
      <c r="K1832" s="895"/>
      <c r="L1832" s="895"/>
      <c r="M1832" s="895"/>
      <c r="O1832" s="682"/>
      <c r="U1832" s="596"/>
    </row>
    <row r="1833" spans="1:21" ht="19.149999999999999" customHeight="1">
      <c r="A1833" s="886"/>
      <c r="B1833" s="887"/>
      <c r="C1833" s="888"/>
      <c r="D1833" s="889"/>
      <c r="E1833" s="890"/>
      <c r="F1833" s="891"/>
      <c r="I1833" s="893"/>
      <c r="J1833" s="894"/>
      <c r="K1833" s="895"/>
      <c r="L1833" s="895"/>
      <c r="M1833" s="895"/>
      <c r="O1833" s="682"/>
      <c r="U1833" s="596"/>
    </row>
    <row r="1834" spans="1:21" ht="19.149999999999999" customHeight="1">
      <c r="A1834" s="886"/>
      <c r="B1834" s="887"/>
      <c r="C1834" s="888"/>
      <c r="D1834" s="889"/>
      <c r="E1834" s="890"/>
      <c r="F1834" s="891"/>
      <c r="I1834" s="893"/>
      <c r="J1834" s="894"/>
      <c r="K1834" s="895"/>
      <c r="L1834" s="895"/>
      <c r="M1834" s="895"/>
      <c r="O1834" s="682"/>
      <c r="U1834" s="596"/>
    </row>
    <row r="1835" spans="1:21" ht="19.149999999999999" customHeight="1">
      <c r="A1835" s="886"/>
      <c r="B1835" s="887"/>
      <c r="C1835" s="888"/>
      <c r="D1835" s="889"/>
      <c r="E1835" s="890"/>
      <c r="F1835" s="891"/>
      <c r="I1835" s="893"/>
      <c r="J1835" s="894"/>
      <c r="K1835" s="895"/>
      <c r="L1835" s="895"/>
      <c r="M1835" s="895"/>
      <c r="O1835" s="682"/>
      <c r="U1835" s="596"/>
    </row>
    <row r="1836" spans="1:21" ht="19.149999999999999" customHeight="1">
      <c r="A1836" s="886"/>
      <c r="B1836" s="887"/>
      <c r="C1836" s="888"/>
      <c r="D1836" s="889"/>
      <c r="E1836" s="890"/>
      <c r="F1836" s="891"/>
      <c r="I1836" s="893"/>
      <c r="J1836" s="894"/>
      <c r="K1836" s="895"/>
      <c r="L1836" s="895"/>
      <c r="M1836" s="895"/>
      <c r="O1836" s="682"/>
      <c r="U1836" s="596"/>
    </row>
    <row r="1837" spans="1:21" ht="19.149999999999999" customHeight="1">
      <c r="A1837" s="886"/>
      <c r="B1837" s="887"/>
      <c r="C1837" s="888"/>
      <c r="D1837" s="889"/>
      <c r="E1837" s="890"/>
      <c r="F1837" s="891"/>
      <c r="I1837" s="893"/>
      <c r="J1837" s="894"/>
      <c r="K1837" s="895"/>
      <c r="L1837" s="895"/>
      <c r="M1837" s="895"/>
      <c r="O1837" s="682"/>
      <c r="U1837" s="596"/>
    </row>
    <row r="1838" spans="1:21" ht="19.149999999999999" customHeight="1">
      <c r="A1838" s="886"/>
      <c r="B1838" s="887"/>
      <c r="C1838" s="888"/>
      <c r="D1838" s="889"/>
      <c r="E1838" s="890"/>
      <c r="F1838" s="891"/>
      <c r="I1838" s="893"/>
      <c r="J1838" s="894"/>
      <c r="K1838" s="895"/>
      <c r="L1838" s="895"/>
      <c r="M1838" s="895"/>
      <c r="O1838" s="682"/>
      <c r="U1838" s="596"/>
    </row>
    <row r="1839" spans="1:21" ht="19.149999999999999" customHeight="1">
      <c r="A1839" s="886"/>
      <c r="B1839" s="887"/>
      <c r="C1839" s="888"/>
      <c r="D1839" s="889"/>
      <c r="E1839" s="890"/>
      <c r="F1839" s="891"/>
      <c r="I1839" s="893"/>
      <c r="J1839" s="894"/>
      <c r="K1839" s="895"/>
      <c r="L1839" s="895"/>
      <c r="M1839" s="895"/>
      <c r="O1839" s="682"/>
      <c r="U1839" s="596"/>
    </row>
    <row r="1840" spans="1:21" ht="19.149999999999999" customHeight="1">
      <c r="A1840" s="886"/>
      <c r="B1840" s="887"/>
      <c r="C1840" s="888"/>
      <c r="D1840" s="889"/>
      <c r="E1840" s="890"/>
      <c r="F1840" s="891"/>
      <c r="I1840" s="893"/>
      <c r="J1840" s="894"/>
      <c r="K1840" s="895"/>
      <c r="L1840" s="895"/>
      <c r="M1840" s="895"/>
      <c r="O1840" s="682"/>
      <c r="U1840" s="596"/>
    </row>
    <row r="1841" spans="1:21" ht="19.149999999999999" customHeight="1">
      <c r="A1841" s="886"/>
      <c r="B1841" s="887"/>
      <c r="C1841" s="888"/>
      <c r="D1841" s="889"/>
      <c r="E1841" s="890"/>
      <c r="F1841" s="891"/>
      <c r="I1841" s="893"/>
      <c r="J1841" s="894"/>
      <c r="K1841" s="895"/>
      <c r="L1841" s="895"/>
      <c r="M1841" s="895"/>
      <c r="O1841" s="682"/>
      <c r="U1841" s="596"/>
    </row>
    <row r="1842" spans="1:21" ht="19.149999999999999" customHeight="1">
      <c r="A1842" s="886"/>
      <c r="B1842" s="887"/>
      <c r="C1842" s="888"/>
      <c r="D1842" s="889"/>
      <c r="E1842" s="890"/>
      <c r="F1842" s="891"/>
      <c r="I1842" s="893"/>
      <c r="J1842" s="894"/>
      <c r="K1842" s="895"/>
      <c r="L1842" s="895"/>
      <c r="M1842" s="895"/>
      <c r="N1842" s="898"/>
      <c r="O1842" s="682"/>
      <c r="U1842" s="596"/>
    </row>
    <row r="1843" spans="1:21" ht="19.149999999999999" customHeight="1">
      <c r="A1843" s="886"/>
      <c r="B1843" s="887"/>
      <c r="C1843" s="888"/>
      <c r="D1843" s="889"/>
      <c r="E1843" s="890"/>
      <c r="F1843" s="891"/>
      <c r="I1843" s="893"/>
      <c r="J1843" s="894"/>
      <c r="K1843" s="895"/>
      <c r="L1843" s="895"/>
      <c r="M1843" s="895"/>
      <c r="N1843" s="898"/>
      <c r="O1843" s="682"/>
      <c r="U1843" s="596"/>
    </row>
    <row r="1844" spans="1:21" ht="19.149999999999999" customHeight="1">
      <c r="A1844" s="886"/>
      <c r="B1844" s="887"/>
      <c r="C1844" s="888"/>
      <c r="D1844" s="889"/>
      <c r="E1844" s="890"/>
      <c r="F1844" s="891"/>
      <c r="I1844" s="893"/>
      <c r="J1844" s="894"/>
      <c r="K1844" s="895"/>
      <c r="L1844" s="895"/>
      <c r="M1844" s="895"/>
      <c r="N1844" s="898"/>
      <c r="O1844" s="682"/>
      <c r="U1844" s="596"/>
    </row>
    <row r="1845" spans="1:21" ht="19.149999999999999" customHeight="1">
      <c r="A1845" s="886"/>
      <c r="B1845" s="887"/>
      <c r="C1845" s="888"/>
      <c r="D1845" s="889"/>
      <c r="E1845" s="890"/>
      <c r="F1845" s="891"/>
      <c r="I1845" s="893"/>
      <c r="J1845" s="894"/>
      <c r="K1845" s="895"/>
      <c r="L1845" s="895"/>
      <c r="M1845" s="895"/>
      <c r="N1845" s="898"/>
      <c r="O1845" s="682"/>
      <c r="U1845" s="596"/>
    </row>
    <row r="1846" spans="1:21" ht="19.149999999999999" customHeight="1">
      <c r="A1846" s="886"/>
      <c r="B1846" s="887"/>
      <c r="C1846" s="888"/>
      <c r="D1846" s="889"/>
      <c r="E1846" s="890"/>
      <c r="F1846" s="891"/>
      <c r="I1846" s="893"/>
      <c r="J1846" s="894"/>
      <c r="K1846" s="895"/>
      <c r="L1846" s="895"/>
      <c r="M1846" s="895"/>
      <c r="N1846" s="898"/>
      <c r="O1846" s="682"/>
      <c r="U1846" s="596"/>
    </row>
    <row r="1847" spans="1:21" ht="19.149999999999999" customHeight="1">
      <c r="A1847" s="886"/>
      <c r="B1847" s="887"/>
      <c r="C1847" s="888"/>
      <c r="D1847" s="889"/>
      <c r="E1847" s="890"/>
      <c r="F1847" s="891"/>
      <c r="I1847" s="893"/>
      <c r="J1847" s="894"/>
      <c r="K1847" s="895"/>
      <c r="L1847" s="895"/>
      <c r="M1847" s="895"/>
      <c r="N1847" s="898"/>
      <c r="O1847" s="682"/>
      <c r="U1847" s="596"/>
    </row>
    <row r="1848" spans="1:21" ht="19.149999999999999" customHeight="1">
      <c r="A1848" s="886"/>
      <c r="B1848" s="887"/>
      <c r="C1848" s="888"/>
      <c r="D1848" s="889"/>
      <c r="E1848" s="890"/>
      <c r="F1848" s="891"/>
      <c r="I1848" s="893"/>
      <c r="J1848" s="894"/>
      <c r="K1848" s="895"/>
      <c r="L1848" s="895"/>
      <c r="M1848" s="895"/>
      <c r="N1848" s="898"/>
      <c r="O1848" s="682"/>
      <c r="U1848" s="596"/>
    </row>
    <row r="1849" spans="1:21" ht="19.149999999999999" customHeight="1">
      <c r="A1849" s="886"/>
      <c r="B1849" s="887"/>
      <c r="C1849" s="888"/>
      <c r="D1849" s="889"/>
      <c r="E1849" s="890"/>
      <c r="F1849" s="891"/>
      <c r="I1849" s="893"/>
      <c r="J1849" s="894"/>
      <c r="K1849" s="895"/>
      <c r="L1849" s="895"/>
      <c r="M1849" s="895"/>
      <c r="N1849" s="898"/>
      <c r="O1849" s="682"/>
      <c r="U1849" s="596"/>
    </row>
    <row r="1850" spans="1:21" ht="19.149999999999999" customHeight="1">
      <c r="A1850" s="886"/>
      <c r="B1850" s="887"/>
      <c r="C1850" s="888"/>
      <c r="D1850" s="889"/>
      <c r="E1850" s="890"/>
      <c r="F1850" s="891"/>
      <c r="I1850" s="893"/>
      <c r="J1850" s="894"/>
      <c r="K1850" s="895"/>
      <c r="L1850" s="895"/>
      <c r="M1850" s="895"/>
      <c r="N1850" s="898"/>
      <c r="O1850" s="682"/>
      <c r="U1850" s="596"/>
    </row>
    <row r="1851" spans="1:21" ht="19.149999999999999" customHeight="1">
      <c r="A1851" s="886"/>
      <c r="B1851" s="887"/>
      <c r="C1851" s="888"/>
      <c r="D1851" s="889"/>
      <c r="E1851" s="890"/>
      <c r="F1851" s="891"/>
      <c r="I1851" s="893"/>
      <c r="J1851" s="894"/>
      <c r="K1851" s="895"/>
      <c r="L1851" s="895"/>
      <c r="M1851" s="895"/>
      <c r="N1851" s="898"/>
      <c r="O1851" s="682"/>
      <c r="U1851" s="596"/>
    </row>
    <row r="1852" spans="1:21" ht="19.149999999999999" customHeight="1">
      <c r="A1852" s="886"/>
      <c r="B1852" s="887"/>
      <c r="C1852" s="888"/>
      <c r="D1852" s="889"/>
      <c r="E1852" s="890"/>
      <c r="F1852" s="891"/>
      <c r="G1852" s="899"/>
      <c r="I1852" s="893"/>
      <c r="J1852" s="894"/>
      <c r="K1852" s="895"/>
      <c r="L1852" s="895"/>
      <c r="M1852" s="895"/>
      <c r="N1852" s="898"/>
      <c r="O1852" s="682"/>
      <c r="U1852" s="596"/>
    </row>
    <row r="1853" spans="1:21" ht="19.149999999999999" customHeight="1">
      <c r="A1853" s="886"/>
      <c r="B1853" s="887"/>
      <c r="C1853" s="888"/>
      <c r="D1853" s="889"/>
      <c r="E1853" s="890"/>
      <c r="F1853" s="891"/>
      <c r="I1853" s="893"/>
      <c r="J1853" s="894"/>
      <c r="K1853" s="895"/>
      <c r="L1853" s="895"/>
      <c r="M1853" s="895"/>
      <c r="N1853" s="898"/>
      <c r="O1853" s="682"/>
      <c r="U1853" s="596"/>
    </row>
    <row r="1854" spans="1:21" ht="19.149999999999999" customHeight="1">
      <c r="A1854" s="886"/>
      <c r="B1854" s="887"/>
      <c r="C1854" s="888"/>
      <c r="D1854" s="889"/>
      <c r="E1854" s="890"/>
      <c r="F1854" s="891"/>
      <c r="I1854" s="893"/>
      <c r="J1854" s="894"/>
      <c r="K1854" s="895"/>
      <c r="L1854" s="895"/>
      <c r="M1854" s="895"/>
      <c r="N1854" s="898"/>
      <c r="O1854" s="682"/>
      <c r="U1854" s="596"/>
    </row>
    <row r="1855" spans="1:21" ht="19.149999999999999" customHeight="1">
      <c r="A1855" s="886"/>
      <c r="B1855" s="887"/>
      <c r="C1855" s="888"/>
      <c r="D1855" s="889"/>
      <c r="E1855" s="890"/>
      <c r="F1855" s="891"/>
      <c r="I1855" s="893"/>
      <c r="J1855" s="894"/>
      <c r="K1855" s="895"/>
      <c r="L1855" s="895"/>
      <c r="M1855" s="895"/>
      <c r="N1855" s="898"/>
      <c r="O1855" s="682"/>
      <c r="U1855" s="596"/>
    </row>
    <row r="1856" spans="1:21" ht="19.149999999999999" customHeight="1">
      <c r="A1856" s="886"/>
      <c r="B1856" s="887"/>
      <c r="C1856" s="888"/>
      <c r="D1856" s="889"/>
      <c r="E1856" s="890"/>
      <c r="F1856" s="891"/>
      <c r="I1856" s="893"/>
      <c r="J1856" s="894"/>
      <c r="K1856" s="895"/>
      <c r="L1856" s="895"/>
      <c r="M1856" s="895"/>
      <c r="N1856" s="898"/>
      <c r="O1856" s="682"/>
      <c r="U1856" s="596"/>
    </row>
    <row r="1857" spans="1:21" ht="19.149999999999999" customHeight="1">
      <c r="A1857" s="886"/>
      <c r="B1857" s="887"/>
      <c r="C1857" s="888"/>
      <c r="D1857" s="889"/>
      <c r="E1857" s="890"/>
      <c r="F1857" s="891"/>
      <c r="I1857" s="893"/>
      <c r="J1857" s="894"/>
      <c r="K1857" s="895"/>
      <c r="L1857" s="895"/>
      <c r="M1857" s="895"/>
      <c r="N1857" s="898"/>
      <c r="O1857" s="682"/>
      <c r="U1857" s="596"/>
    </row>
    <row r="1858" spans="1:21" ht="19.149999999999999" customHeight="1">
      <c r="A1858" s="886"/>
      <c r="B1858" s="887"/>
      <c r="C1858" s="888"/>
      <c r="D1858" s="889"/>
      <c r="E1858" s="890"/>
      <c r="F1858" s="891"/>
      <c r="I1858" s="893"/>
      <c r="J1858" s="894"/>
      <c r="K1858" s="895"/>
      <c r="L1858" s="895"/>
      <c r="M1858" s="895"/>
      <c r="N1858" s="898"/>
      <c r="O1858" s="682"/>
      <c r="U1858" s="596"/>
    </row>
    <row r="1859" spans="1:21" ht="19.149999999999999" customHeight="1">
      <c r="A1859" s="886"/>
      <c r="B1859" s="887"/>
      <c r="C1859" s="888"/>
      <c r="D1859" s="889"/>
      <c r="E1859" s="890"/>
      <c r="F1859" s="891"/>
      <c r="I1859" s="893"/>
      <c r="J1859" s="894"/>
      <c r="K1859" s="895"/>
      <c r="L1859" s="895"/>
      <c r="M1859" s="895"/>
      <c r="N1859" s="898"/>
      <c r="O1859" s="682"/>
      <c r="U1859" s="596"/>
    </row>
    <row r="1860" spans="1:21" ht="19.149999999999999" customHeight="1">
      <c r="A1860" s="886"/>
      <c r="B1860" s="887"/>
      <c r="C1860" s="888"/>
      <c r="D1860" s="889"/>
      <c r="E1860" s="890"/>
      <c r="F1860" s="891"/>
      <c r="I1860" s="893"/>
      <c r="J1860" s="894"/>
      <c r="K1860" s="895"/>
      <c r="L1860" s="895"/>
      <c r="M1860" s="895"/>
      <c r="N1860" s="898"/>
      <c r="O1860" s="682"/>
      <c r="U1860" s="596"/>
    </row>
    <row r="1861" spans="1:21" ht="19.149999999999999" customHeight="1">
      <c r="A1861" s="886"/>
      <c r="B1861" s="887"/>
      <c r="C1861" s="888"/>
      <c r="D1861" s="889"/>
      <c r="E1861" s="890"/>
      <c r="F1861" s="891"/>
      <c r="I1861" s="893"/>
      <c r="J1861" s="894"/>
      <c r="K1861" s="895"/>
      <c r="L1861" s="895"/>
      <c r="M1861" s="895"/>
      <c r="N1861" s="898"/>
      <c r="O1861" s="682"/>
      <c r="U1861" s="596"/>
    </row>
    <row r="1862" spans="1:21" ht="19.149999999999999" customHeight="1">
      <c r="A1862" s="886"/>
      <c r="B1862" s="887"/>
      <c r="C1862" s="888"/>
      <c r="D1862" s="889"/>
      <c r="E1862" s="890"/>
      <c r="F1862" s="891"/>
      <c r="I1862" s="893"/>
      <c r="J1862" s="894"/>
      <c r="K1862" s="895"/>
      <c r="L1862" s="895"/>
      <c r="M1862" s="895"/>
      <c r="N1862" s="898"/>
      <c r="O1862" s="682"/>
      <c r="U1862" s="596"/>
    </row>
    <row r="1863" spans="1:21" ht="19.149999999999999" customHeight="1">
      <c r="A1863" s="886"/>
      <c r="B1863" s="887"/>
      <c r="C1863" s="888"/>
      <c r="D1863" s="889"/>
      <c r="E1863" s="890"/>
      <c r="F1863" s="891"/>
      <c r="I1863" s="893"/>
      <c r="J1863" s="894"/>
      <c r="K1863" s="895"/>
      <c r="L1863" s="895"/>
      <c r="M1863" s="895"/>
      <c r="N1863" s="898"/>
      <c r="O1863" s="682"/>
      <c r="U1863" s="596"/>
    </row>
    <row r="1864" spans="1:21" ht="19.149999999999999" customHeight="1">
      <c r="A1864" s="886"/>
      <c r="B1864" s="887"/>
      <c r="C1864" s="888"/>
      <c r="D1864" s="889"/>
      <c r="E1864" s="890"/>
      <c r="F1864" s="891"/>
      <c r="I1864" s="893"/>
      <c r="J1864" s="894"/>
      <c r="K1864" s="895"/>
      <c r="L1864" s="895"/>
      <c r="M1864" s="895"/>
      <c r="N1864" s="898"/>
      <c r="O1864" s="682"/>
      <c r="U1864" s="596"/>
    </row>
    <row r="1865" spans="1:21" ht="19.149999999999999" customHeight="1">
      <c r="A1865" s="886"/>
      <c r="B1865" s="887"/>
      <c r="C1865" s="888"/>
      <c r="D1865" s="889"/>
      <c r="E1865" s="890"/>
      <c r="F1865" s="891"/>
      <c r="I1865" s="893"/>
      <c r="J1865" s="894"/>
      <c r="K1865" s="895"/>
      <c r="L1865" s="895"/>
      <c r="M1865" s="895"/>
      <c r="N1865" s="898"/>
      <c r="O1865" s="682"/>
      <c r="U1865" s="596"/>
    </row>
    <row r="1866" spans="1:21" ht="19.149999999999999" customHeight="1">
      <c r="A1866" s="886"/>
      <c r="B1866" s="887"/>
      <c r="C1866" s="888"/>
      <c r="D1866" s="889"/>
      <c r="E1866" s="890"/>
      <c r="F1866" s="891"/>
      <c r="I1866" s="893"/>
      <c r="J1866" s="894"/>
      <c r="K1866" s="895"/>
      <c r="L1866" s="895"/>
      <c r="M1866" s="895"/>
      <c r="N1866" s="898"/>
      <c r="O1866" s="682"/>
      <c r="U1866" s="596"/>
    </row>
    <row r="1867" spans="1:21" ht="19.149999999999999" customHeight="1">
      <c r="A1867" s="886"/>
      <c r="B1867" s="887"/>
      <c r="C1867" s="888"/>
      <c r="D1867" s="889"/>
      <c r="E1867" s="890"/>
      <c r="F1867" s="891"/>
      <c r="I1867" s="893"/>
      <c r="J1867" s="894"/>
      <c r="K1867" s="895"/>
      <c r="L1867" s="895"/>
      <c r="M1867" s="895"/>
      <c r="N1867" s="898"/>
      <c r="O1867" s="682"/>
      <c r="U1867" s="596"/>
    </row>
    <row r="1868" spans="1:21" ht="19.149999999999999" customHeight="1">
      <c r="A1868" s="886"/>
      <c r="B1868" s="887"/>
      <c r="C1868" s="888"/>
      <c r="D1868" s="889"/>
      <c r="E1868" s="890"/>
      <c r="F1868" s="891"/>
      <c r="I1868" s="893"/>
      <c r="J1868" s="894"/>
      <c r="K1868" s="895"/>
      <c r="L1868" s="895"/>
      <c r="M1868" s="895"/>
      <c r="N1868" s="898"/>
      <c r="O1868" s="682"/>
      <c r="U1868" s="596"/>
    </row>
    <row r="1869" spans="1:21" ht="19.149999999999999" customHeight="1">
      <c r="A1869" s="886"/>
      <c r="B1869" s="887"/>
      <c r="C1869" s="888"/>
      <c r="D1869" s="889"/>
      <c r="E1869" s="890"/>
      <c r="F1869" s="891"/>
      <c r="I1869" s="893"/>
      <c r="J1869" s="894"/>
      <c r="K1869" s="895"/>
      <c r="L1869" s="895"/>
      <c r="M1869" s="895"/>
      <c r="N1869" s="898"/>
      <c r="O1869" s="682"/>
      <c r="U1869" s="596"/>
    </row>
    <row r="1870" spans="1:21" ht="19.149999999999999" customHeight="1">
      <c r="A1870" s="886"/>
      <c r="B1870" s="887"/>
      <c r="C1870" s="888"/>
      <c r="D1870" s="889"/>
      <c r="E1870" s="890"/>
      <c r="F1870" s="891"/>
      <c r="I1870" s="893"/>
      <c r="J1870" s="894"/>
      <c r="K1870" s="895"/>
      <c r="L1870" s="895"/>
      <c r="M1870" s="895"/>
      <c r="N1870" s="898"/>
      <c r="O1870" s="682"/>
      <c r="U1870" s="596"/>
    </row>
    <row r="1871" spans="1:21" ht="19.149999999999999" customHeight="1">
      <c r="A1871" s="886"/>
      <c r="B1871" s="887"/>
      <c r="C1871" s="888"/>
      <c r="D1871" s="889"/>
      <c r="E1871" s="890"/>
      <c r="F1871" s="891"/>
      <c r="I1871" s="893"/>
      <c r="J1871" s="894"/>
      <c r="K1871" s="895"/>
      <c r="L1871" s="895"/>
      <c r="M1871" s="895"/>
      <c r="N1871" s="898"/>
      <c r="O1871" s="682"/>
      <c r="U1871" s="596"/>
    </row>
    <row r="1872" spans="1:21" ht="19.149999999999999" customHeight="1">
      <c r="A1872" s="886"/>
      <c r="B1872" s="887"/>
      <c r="C1872" s="888"/>
      <c r="D1872" s="889"/>
      <c r="E1872" s="890"/>
      <c r="F1872" s="891"/>
      <c r="I1872" s="893"/>
      <c r="J1872" s="894"/>
      <c r="K1872" s="895"/>
      <c r="L1872" s="895"/>
      <c r="M1872" s="895"/>
      <c r="N1872" s="898"/>
      <c r="O1872" s="682"/>
      <c r="U1872" s="596"/>
    </row>
    <row r="1873" spans="1:21" ht="19.149999999999999" customHeight="1">
      <c r="A1873" s="886"/>
      <c r="B1873" s="887"/>
      <c r="C1873" s="888"/>
      <c r="D1873" s="889"/>
      <c r="E1873" s="890"/>
      <c r="F1873" s="891"/>
      <c r="I1873" s="893"/>
      <c r="J1873" s="894"/>
      <c r="K1873" s="895"/>
      <c r="L1873" s="895"/>
      <c r="M1873" s="895"/>
      <c r="N1873" s="898"/>
      <c r="O1873" s="682"/>
      <c r="U1873" s="596"/>
    </row>
    <row r="1874" spans="1:21" ht="19.149999999999999" customHeight="1">
      <c r="A1874" s="886"/>
      <c r="B1874" s="887"/>
      <c r="C1874" s="888"/>
      <c r="D1874" s="889"/>
      <c r="E1874" s="890"/>
      <c r="F1874" s="891"/>
      <c r="I1874" s="893"/>
      <c r="J1874" s="894"/>
      <c r="K1874" s="895"/>
      <c r="L1874" s="895"/>
      <c r="M1874" s="895"/>
      <c r="N1874" s="898"/>
      <c r="O1874" s="682"/>
      <c r="U1874" s="596"/>
    </row>
    <row r="1875" spans="1:21" ht="19.149999999999999" customHeight="1">
      <c r="A1875" s="886"/>
      <c r="B1875" s="887"/>
      <c r="C1875" s="888"/>
      <c r="D1875" s="889"/>
      <c r="E1875" s="890"/>
      <c r="F1875" s="891"/>
      <c r="I1875" s="893"/>
      <c r="J1875" s="894"/>
      <c r="K1875" s="895"/>
      <c r="L1875" s="895"/>
      <c r="M1875" s="895"/>
      <c r="N1875" s="898"/>
      <c r="O1875" s="682"/>
      <c r="U1875" s="596"/>
    </row>
    <row r="1876" spans="1:21" ht="19.149999999999999" customHeight="1">
      <c r="A1876" s="886"/>
      <c r="B1876" s="887"/>
      <c r="C1876" s="888"/>
      <c r="D1876" s="889"/>
      <c r="E1876" s="890"/>
      <c r="F1876" s="891"/>
      <c r="I1876" s="893"/>
      <c r="J1876" s="894"/>
      <c r="K1876" s="895"/>
      <c r="L1876" s="895"/>
      <c r="M1876" s="895"/>
      <c r="N1876" s="898"/>
      <c r="O1876" s="682"/>
      <c r="U1876" s="596"/>
    </row>
    <row r="1877" spans="1:21" ht="19.149999999999999" customHeight="1">
      <c r="A1877" s="886"/>
      <c r="B1877" s="887"/>
      <c r="C1877" s="888"/>
      <c r="D1877" s="889"/>
      <c r="E1877" s="890"/>
      <c r="F1877" s="891"/>
      <c r="I1877" s="893"/>
      <c r="J1877" s="894"/>
      <c r="K1877" s="895"/>
      <c r="L1877" s="895"/>
      <c r="M1877" s="895"/>
      <c r="N1877" s="898"/>
      <c r="O1877" s="682"/>
      <c r="U1877" s="596"/>
    </row>
    <row r="1878" spans="1:21" ht="19.149999999999999" customHeight="1">
      <c r="A1878" s="886"/>
      <c r="B1878" s="887"/>
      <c r="C1878" s="888"/>
      <c r="D1878" s="889"/>
      <c r="E1878" s="890"/>
      <c r="F1878" s="891"/>
      <c r="I1878" s="893"/>
      <c r="J1878" s="894"/>
      <c r="K1878" s="895"/>
      <c r="L1878" s="895"/>
      <c r="M1878" s="895"/>
      <c r="N1878" s="898"/>
      <c r="O1878" s="682"/>
      <c r="U1878" s="596"/>
    </row>
    <row r="1879" spans="1:21" ht="19.149999999999999" customHeight="1">
      <c r="A1879" s="886"/>
      <c r="B1879" s="887"/>
      <c r="C1879" s="888"/>
      <c r="D1879" s="889"/>
      <c r="E1879" s="890"/>
      <c r="F1879" s="891"/>
      <c r="I1879" s="893"/>
      <c r="J1879" s="894"/>
      <c r="K1879" s="895"/>
      <c r="L1879" s="895"/>
      <c r="M1879" s="895"/>
      <c r="N1879" s="898"/>
      <c r="O1879" s="682"/>
      <c r="U1879" s="596"/>
    </row>
    <row r="1880" spans="1:21" ht="19.149999999999999" customHeight="1">
      <c r="A1880" s="886"/>
      <c r="B1880" s="887"/>
      <c r="C1880" s="888"/>
      <c r="D1880" s="889"/>
      <c r="E1880" s="890"/>
      <c r="F1880" s="891"/>
      <c r="I1880" s="893"/>
      <c r="J1880" s="894"/>
      <c r="K1880" s="895"/>
      <c r="L1880" s="895"/>
      <c r="M1880" s="895"/>
      <c r="N1880" s="898"/>
      <c r="O1880" s="682"/>
      <c r="U1880" s="596"/>
    </row>
    <row r="1881" spans="1:21" ht="19.149999999999999" customHeight="1">
      <c r="A1881" s="886"/>
      <c r="B1881" s="887"/>
      <c r="C1881" s="888"/>
      <c r="D1881" s="889"/>
      <c r="E1881" s="890"/>
      <c r="F1881" s="891"/>
      <c r="I1881" s="893"/>
      <c r="J1881" s="894"/>
      <c r="K1881" s="895"/>
      <c r="L1881" s="895"/>
      <c r="M1881" s="895"/>
      <c r="N1881" s="898"/>
      <c r="O1881" s="682"/>
      <c r="U1881" s="596"/>
    </row>
    <row r="1882" spans="1:21" ht="19.149999999999999" customHeight="1">
      <c r="A1882" s="886"/>
      <c r="B1882" s="887"/>
      <c r="C1882" s="888"/>
      <c r="D1882" s="889"/>
      <c r="E1882" s="890"/>
      <c r="F1882" s="891"/>
      <c r="I1882" s="893"/>
      <c r="J1882" s="894"/>
      <c r="K1882" s="895"/>
      <c r="L1882" s="895"/>
      <c r="M1882" s="895"/>
      <c r="N1882" s="898"/>
      <c r="O1882" s="682"/>
      <c r="U1882" s="596"/>
    </row>
    <row r="1883" spans="1:21" ht="19.149999999999999" customHeight="1">
      <c r="A1883" s="886"/>
      <c r="B1883" s="887"/>
      <c r="C1883" s="888"/>
      <c r="D1883" s="889"/>
      <c r="E1883" s="890"/>
      <c r="F1883" s="891"/>
      <c r="I1883" s="893"/>
      <c r="J1883" s="894"/>
      <c r="K1883" s="895"/>
      <c r="L1883" s="895"/>
      <c r="M1883" s="895"/>
      <c r="N1883" s="898"/>
      <c r="O1883" s="682"/>
      <c r="U1883" s="596"/>
    </row>
    <row r="1884" spans="1:21" ht="19.149999999999999" customHeight="1">
      <c r="A1884" s="886"/>
      <c r="B1884" s="887"/>
      <c r="C1884" s="888"/>
      <c r="D1884" s="889"/>
      <c r="E1884" s="890"/>
      <c r="F1884" s="891"/>
      <c r="I1884" s="893"/>
      <c r="J1884" s="894"/>
      <c r="K1884" s="895"/>
      <c r="L1884" s="895"/>
      <c r="M1884" s="895"/>
      <c r="N1884" s="898"/>
      <c r="O1884" s="682"/>
      <c r="U1884" s="596"/>
    </row>
    <row r="1885" spans="1:21" ht="19.149999999999999" customHeight="1">
      <c r="A1885" s="886"/>
      <c r="B1885" s="887"/>
      <c r="C1885" s="888"/>
      <c r="D1885" s="889"/>
      <c r="E1885" s="890"/>
      <c r="F1885" s="891"/>
      <c r="I1885" s="893"/>
      <c r="J1885" s="894"/>
      <c r="K1885" s="895"/>
      <c r="L1885" s="895"/>
      <c r="M1885" s="895"/>
      <c r="N1885" s="898"/>
      <c r="O1885" s="682"/>
      <c r="U1885" s="596"/>
    </row>
    <row r="1886" spans="1:21" ht="19.149999999999999" customHeight="1">
      <c r="A1886" s="886"/>
      <c r="B1886" s="887"/>
      <c r="C1886" s="888"/>
      <c r="D1886" s="889"/>
      <c r="E1886" s="890"/>
      <c r="F1886" s="891"/>
      <c r="I1886" s="893"/>
      <c r="J1886" s="894"/>
      <c r="K1886" s="895"/>
      <c r="L1886" s="895"/>
      <c r="M1886" s="895"/>
      <c r="N1886" s="898"/>
      <c r="O1886" s="682"/>
      <c r="U1886" s="596"/>
    </row>
    <row r="1887" spans="1:21" ht="19.149999999999999" customHeight="1">
      <c r="A1887" s="886"/>
      <c r="B1887" s="887"/>
      <c r="C1887" s="888"/>
      <c r="D1887" s="889"/>
      <c r="E1887" s="890"/>
      <c r="F1887" s="891"/>
      <c r="I1887" s="893"/>
      <c r="J1887" s="894"/>
      <c r="K1887" s="895"/>
      <c r="L1887" s="895"/>
      <c r="M1887" s="895"/>
      <c r="N1887" s="898"/>
      <c r="O1887" s="682"/>
      <c r="U1887" s="596"/>
    </row>
    <row r="1888" spans="1:21" ht="19.149999999999999" customHeight="1">
      <c r="A1888" s="886"/>
      <c r="B1888" s="887"/>
      <c r="C1888" s="888"/>
      <c r="D1888" s="889"/>
      <c r="E1888" s="890"/>
      <c r="F1888" s="891"/>
      <c r="I1888" s="893"/>
      <c r="J1888" s="894"/>
      <c r="K1888" s="895"/>
      <c r="L1888" s="895"/>
      <c r="M1888" s="895"/>
      <c r="N1888" s="898"/>
      <c r="O1888" s="682"/>
      <c r="U1888" s="596"/>
    </row>
    <row r="1889" spans="1:21" ht="19.149999999999999" customHeight="1">
      <c r="A1889" s="886"/>
      <c r="B1889" s="887"/>
      <c r="C1889" s="888"/>
      <c r="D1889" s="889"/>
      <c r="E1889" s="890"/>
      <c r="F1889" s="891"/>
      <c r="I1889" s="893"/>
      <c r="J1889" s="894"/>
      <c r="K1889" s="895"/>
      <c r="L1889" s="895"/>
      <c r="M1889" s="895"/>
      <c r="N1889" s="898"/>
      <c r="O1889" s="682"/>
      <c r="U1889" s="596"/>
    </row>
    <row r="1890" spans="1:21" ht="19.149999999999999" customHeight="1">
      <c r="A1890" s="886"/>
      <c r="B1890" s="887"/>
      <c r="C1890" s="888"/>
      <c r="D1890" s="889"/>
      <c r="E1890" s="890"/>
      <c r="F1890" s="891"/>
      <c r="I1890" s="893"/>
      <c r="J1890" s="894"/>
      <c r="K1890" s="895"/>
      <c r="L1890" s="895"/>
      <c r="M1890" s="895"/>
      <c r="N1890" s="898"/>
      <c r="O1890" s="682"/>
      <c r="U1890" s="596"/>
    </row>
    <row r="1891" spans="1:21" ht="19.149999999999999" customHeight="1">
      <c r="A1891" s="886"/>
      <c r="B1891" s="887"/>
      <c r="C1891" s="888"/>
      <c r="D1891" s="889"/>
      <c r="E1891" s="890"/>
      <c r="F1891" s="891"/>
      <c r="I1891" s="893"/>
      <c r="J1891" s="894"/>
      <c r="K1891" s="895"/>
      <c r="L1891" s="895"/>
      <c r="M1891" s="895"/>
      <c r="N1891" s="898"/>
      <c r="O1891" s="682"/>
      <c r="U1891" s="596"/>
    </row>
    <row r="1892" spans="1:21" ht="19.149999999999999" customHeight="1">
      <c r="A1892" s="886"/>
      <c r="B1892" s="887"/>
      <c r="C1892" s="888"/>
      <c r="D1892" s="889"/>
      <c r="E1892" s="890"/>
      <c r="F1892" s="891"/>
      <c r="I1892" s="893"/>
      <c r="J1892" s="894"/>
      <c r="K1892" s="895"/>
      <c r="L1892" s="895"/>
      <c r="M1892" s="895"/>
      <c r="N1892" s="898"/>
      <c r="O1892" s="682"/>
      <c r="U1892" s="596"/>
    </row>
    <row r="1893" spans="1:21" ht="19.149999999999999" customHeight="1">
      <c r="A1893" s="886"/>
      <c r="B1893" s="887"/>
      <c r="C1893" s="888"/>
      <c r="D1893" s="889"/>
      <c r="E1893" s="890"/>
      <c r="F1893" s="891"/>
      <c r="I1893" s="893"/>
      <c r="J1893" s="894"/>
      <c r="K1893" s="895"/>
      <c r="L1893" s="895"/>
      <c r="M1893" s="895"/>
      <c r="N1893" s="898"/>
      <c r="O1893" s="682"/>
      <c r="U1893" s="596"/>
    </row>
    <row r="1894" spans="1:21" ht="19.149999999999999" customHeight="1">
      <c r="A1894" s="886"/>
      <c r="B1894" s="887"/>
      <c r="C1894" s="888"/>
      <c r="D1894" s="889"/>
      <c r="E1894" s="890"/>
      <c r="F1894" s="891"/>
      <c r="I1894" s="893"/>
      <c r="J1894" s="894"/>
      <c r="K1894" s="895"/>
      <c r="L1894" s="895"/>
      <c r="M1894" s="895"/>
      <c r="N1894" s="898"/>
      <c r="O1894" s="682"/>
      <c r="U1894" s="596"/>
    </row>
    <row r="1895" spans="1:21" ht="19.149999999999999" customHeight="1">
      <c r="A1895" s="886"/>
      <c r="B1895" s="887"/>
      <c r="C1895" s="888"/>
      <c r="D1895" s="889"/>
      <c r="E1895" s="890"/>
      <c r="F1895" s="891"/>
      <c r="I1895" s="893"/>
      <c r="J1895" s="894"/>
      <c r="K1895" s="895"/>
      <c r="L1895" s="895"/>
      <c r="M1895" s="895"/>
      <c r="N1895" s="898"/>
      <c r="O1895" s="682"/>
      <c r="U1895" s="596"/>
    </row>
    <row r="1896" spans="1:21" ht="19.149999999999999" customHeight="1">
      <c r="A1896" s="886"/>
      <c r="B1896" s="887"/>
      <c r="C1896" s="888"/>
      <c r="D1896" s="889"/>
      <c r="E1896" s="890"/>
      <c r="F1896" s="891"/>
      <c r="I1896" s="893"/>
      <c r="J1896" s="894"/>
      <c r="K1896" s="895"/>
      <c r="L1896" s="895"/>
      <c r="M1896" s="895"/>
      <c r="N1896" s="898"/>
      <c r="O1896" s="682"/>
      <c r="U1896" s="596"/>
    </row>
    <row r="1897" spans="1:21" ht="19.149999999999999" customHeight="1">
      <c r="A1897" s="886"/>
      <c r="B1897" s="887"/>
      <c r="C1897" s="888"/>
      <c r="D1897" s="889"/>
      <c r="E1897" s="890"/>
      <c r="F1897" s="891"/>
      <c r="I1897" s="893"/>
      <c r="J1897" s="894"/>
      <c r="K1897" s="895"/>
      <c r="L1897" s="895"/>
      <c r="M1897" s="895"/>
      <c r="N1897" s="898"/>
      <c r="O1897" s="682"/>
      <c r="U1897" s="596"/>
    </row>
    <row r="1898" spans="1:21" ht="19.149999999999999" customHeight="1">
      <c r="A1898" s="886"/>
      <c r="B1898" s="887"/>
      <c r="C1898" s="888"/>
      <c r="D1898" s="889"/>
      <c r="E1898" s="890"/>
      <c r="F1898" s="891"/>
      <c r="I1898" s="893"/>
      <c r="J1898" s="894"/>
      <c r="K1898" s="895"/>
      <c r="L1898" s="895"/>
      <c r="M1898" s="895"/>
      <c r="N1898" s="898"/>
      <c r="O1898" s="682"/>
      <c r="U1898" s="596"/>
    </row>
    <row r="1899" spans="1:21" ht="19.149999999999999" customHeight="1">
      <c r="A1899" s="886"/>
      <c r="B1899" s="887"/>
      <c r="C1899" s="888"/>
      <c r="D1899" s="889"/>
      <c r="E1899" s="890"/>
      <c r="F1899" s="891"/>
      <c r="I1899" s="893"/>
      <c r="J1899" s="894"/>
      <c r="K1899" s="895"/>
      <c r="L1899" s="895"/>
      <c r="M1899" s="895"/>
      <c r="N1899" s="898"/>
      <c r="O1899" s="682"/>
      <c r="U1899" s="596"/>
    </row>
    <row r="1900" spans="1:21" ht="19.149999999999999" customHeight="1">
      <c r="A1900" s="886"/>
      <c r="B1900" s="887"/>
      <c r="C1900" s="888"/>
      <c r="D1900" s="889"/>
      <c r="E1900" s="890"/>
      <c r="F1900" s="891"/>
      <c r="I1900" s="893"/>
      <c r="J1900" s="894"/>
      <c r="K1900" s="895"/>
      <c r="L1900" s="895"/>
      <c r="M1900" s="895"/>
      <c r="N1900" s="898"/>
      <c r="O1900" s="682"/>
      <c r="U1900" s="596"/>
    </row>
    <row r="1901" spans="1:21" ht="19.149999999999999" customHeight="1">
      <c r="A1901" s="886"/>
      <c r="B1901" s="887"/>
      <c r="C1901" s="888"/>
      <c r="D1901" s="889"/>
      <c r="E1901" s="890"/>
      <c r="F1901" s="891"/>
      <c r="I1901" s="893"/>
      <c r="J1901" s="894"/>
      <c r="K1901" s="895"/>
      <c r="L1901" s="895"/>
      <c r="M1901" s="895"/>
      <c r="N1901" s="898"/>
      <c r="O1901" s="682"/>
      <c r="U1901" s="596"/>
    </row>
    <row r="1902" spans="1:21" ht="19.149999999999999" customHeight="1">
      <c r="A1902" s="886"/>
      <c r="B1902" s="887"/>
      <c r="C1902" s="888"/>
      <c r="D1902" s="889"/>
      <c r="E1902" s="890"/>
      <c r="F1902" s="891"/>
      <c r="I1902" s="893"/>
      <c r="J1902" s="894"/>
      <c r="K1902" s="895"/>
      <c r="L1902" s="895"/>
      <c r="M1902" s="895"/>
      <c r="N1902" s="898"/>
      <c r="O1902" s="682"/>
      <c r="U1902" s="596"/>
    </row>
    <row r="1903" spans="1:21" ht="19.149999999999999" customHeight="1">
      <c r="A1903" s="886"/>
      <c r="B1903" s="887"/>
      <c r="C1903" s="888"/>
      <c r="D1903" s="889"/>
      <c r="E1903" s="890"/>
      <c r="F1903" s="891"/>
      <c r="I1903" s="893"/>
      <c r="J1903" s="894"/>
      <c r="K1903" s="895"/>
      <c r="L1903" s="895"/>
      <c r="M1903" s="895"/>
      <c r="N1903" s="898"/>
      <c r="O1903" s="682"/>
      <c r="U1903" s="596"/>
    </row>
    <row r="1904" spans="1:21" ht="19.149999999999999" customHeight="1">
      <c r="A1904" s="886"/>
      <c r="B1904" s="887"/>
      <c r="C1904" s="888"/>
      <c r="D1904" s="889"/>
      <c r="E1904" s="890"/>
      <c r="F1904" s="891"/>
      <c r="I1904" s="893"/>
      <c r="J1904" s="894"/>
      <c r="K1904" s="895"/>
      <c r="L1904" s="895"/>
      <c r="M1904" s="895"/>
      <c r="N1904" s="898"/>
      <c r="O1904" s="682"/>
      <c r="U1904" s="596"/>
    </row>
    <row r="1905" spans="1:21" ht="19.149999999999999" customHeight="1">
      <c r="A1905" s="886"/>
      <c r="B1905" s="887"/>
      <c r="C1905" s="888"/>
      <c r="D1905" s="889"/>
      <c r="E1905" s="890"/>
      <c r="F1905" s="891"/>
      <c r="I1905" s="893"/>
      <c r="J1905" s="894"/>
      <c r="K1905" s="895"/>
      <c r="L1905" s="895"/>
      <c r="M1905" s="895"/>
      <c r="N1905" s="898"/>
      <c r="O1905" s="682"/>
      <c r="U1905" s="596"/>
    </row>
    <row r="1906" spans="1:21" ht="19.149999999999999" customHeight="1">
      <c r="A1906" s="886"/>
      <c r="B1906" s="887"/>
      <c r="C1906" s="888"/>
      <c r="D1906" s="889"/>
      <c r="E1906" s="890"/>
      <c r="F1906" s="891"/>
      <c r="I1906" s="893"/>
      <c r="J1906" s="894"/>
      <c r="K1906" s="895"/>
      <c r="L1906" s="895"/>
      <c r="M1906" s="895"/>
      <c r="N1906" s="898"/>
      <c r="O1906" s="682"/>
      <c r="U1906" s="596"/>
    </row>
    <row r="1907" spans="1:21" ht="19.149999999999999" customHeight="1">
      <c r="A1907" s="886"/>
      <c r="B1907" s="887"/>
      <c r="C1907" s="888"/>
      <c r="D1907" s="889"/>
      <c r="E1907" s="890"/>
      <c r="F1907" s="891"/>
      <c r="I1907" s="893"/>
      <c r="J1907" s="894"/>
      <c r="K1907" s="895"/>
      <c r="L1907" s="895"/>
      <c r="M1907" s="895"/>
      <c r="N1907" s="898"/>
      <c r="O1907" s="682"/>
      <c r="U1907" s="596"/>
    </row>
    <row r="1908" spans="1:21" ht="19.149999999999999" customHeight="1">
      <c r="A1908" s="886"/>
      <c r="B1908" s="887"/>
      <c r="C1908" s="888"/>
      <c r="D1908" s="889"/>
      <c r="E1908" s="890"/>
      <c r="F1908" s="891"/>
      <c r="I1908" s="893"/>
      <c r="J1908" s="894"/>
      <c r="K1908" s="895"/>
      <c r="L1908" s="895"/>
      <c r="M1908" s="895"/>
      <c r="N1908" s="898"/>
      <c r="O1908" s="682"/>
      <c r="U1908" s="596"/>
    </row>
    <row r="1909" spans="1:21" ht="19.149999999999999" customHeight="1">
      <c r="A1909" s="886"/>
      <c r="B1909" s="887"/>
      <c r="C1909" s="888"/>
      <c r="D1909" s="889"/>
      <c r="E1909" s="890"/>
      <c r="F1909" s="891"/>
      <c r="I1909" s="893"/>
      <c r="J1909" s="894"/>
      <c r="K1909" s="895"/>
      <c r="L1909" s="895"/>
      <c r="M1909" s="895"/>
      <c r="N1909" s="898"/>
      <c r="O1909" s="682"/>
      <c r="U1909" s="596"/>
    </row>
    <row r="1910" spans="1:21" ht="19.149999999999999" customHeight="1">
      <c r="A1910" s="886"/>
      <c r="B1910" s="887"/>
      <c r="C1910" s="888"/>
      <c r="D1910" s="889"/>
      <c r="E1910" s="890"/>
      <c r="F1910" s="891"/>
      <c r="I1910" s="893"/>
      <c r="J1910" s="894"/>
      <c r="K1910" s="895"/>
      <c r="L1910" s="895"/>
      <c r="M1910" s="895"/>
      <c r="N1910" s="898"/>
      <c r="O1910" s="682"/>
      <c r="U1910" s="596"/>
    </row>
    <row r="1911" spans="1:21" ht="19.149999999999999" customHeight="1">
      <c r="A1911" s="886"/>
      <c r="B1911" s="887"/>
      <c r="C1911" s="888"/>
      <c r="D1911" s="889"/>
      <c r="E1911" s="890"/>
      <c r="F1911" s="891"/>
      <c r="I1911" s="893"/>
      <c r="J1911" s="894"/>
      <c r="K1911" s="895"/>
      <c r="L1911" s="895"/>
      <c r="M1911" s="895"/>
      <c r="N1911" s="898"/>
      <c r="O1911" s="682"/>
      <c r="U1911" s="596"/>
    </row>
    <row r="1912" spans="1:21" ht="19.149999999999999" customHeight="1">
      <c r="A1912" s="886"/>
      <c r="B1912" s="887"/>
      <c r="C1912" s="888"/>
      <c r="D1912" s="889"/>
      <c r="E1912" s="890"/>
      <c r="F1912" s="891"/>
      <c r="I1912" s="893"/>
      <c r="J1912" s="894"/>
      <c r="K1912" s="895"/>
      <c r="L1912" s="895"/>
      <c r="M1912" s="895"/>
      <c r="N1912" s="898"/>
      <c r="O1912" s="682"/>
      <c r="U1912" s="596"/>
    </row>
    <row r="1913" spans="1:21" ht="19.149999999999999" customHeight="1">
      <c r="A1913" s="886"/>
      <c r="B1913" s="887"/>
      <c r="C1913" s="888"/>
      <c r="D1913" s="889"/>
      <c r="E1913" s="890"/>
      <c r="F1913" s="891"/>
      <c r="I1913" s="893"/>
      <c r="J1913" s="894"/>
      <c r="K1913" s="895"/>
      <c r="L1913" s="895"/>
      <c r="M1913" s="895"/>
      <c r="N1913" s="898"/>
      <c r="O1913" s="682"/>
      <c r="U1913" s="596"/>
    </row>
    <row r="1914" spans="1:21" ht="19.149999999999999" customHeight="1">
      <c r="A1914" s="886"/>
      <c r="B1914" s="887"/>
      <c r="C1914" s="888"/>
      <c r="D1914" s="889"/>
      <c r="E1914" s="890"/>
      <c r="F1914" s="891"/>
      <c r="I1914" s="893"/>
      <c r="J1914" s="894"/>
      <c r="K1914" s="895"/>
      <c r="L1914" s="895"/>
      <c r="M1914" s="895"/>
      <c r="N1914" s="898"/>
      <c r="O1914" s="682"/>
      <c r="U1914" s="596"/>
    </row>
    <row r="1915" spans="1:21" ht="19.149999999999999" customHeight="1">
      <c r="A1915" s="886"/>
      <c r="B1915" s="887"/>
      <c r="C1915" s="888"/>
      <c r="D1915" s="889"/>
      <c r="E1915" s="890"/>
      <c r="F1915" s="891"/>
      <c r="I1915" s="893"/>
      <c r="J1915" s="894"/>
      <c r="K1915" s="895"/>
      <c r="L1915" s="895"/>
      <c r="M1915" s="895"/>
      <c r="N1915" s="898"/>
      <c r="O1915" s="682"/>
      <c r="U1915" s="596"/>
    </row>
    <row r="1916" spans="1:21" ht="19.149999999999999" customHeight="1">
      <c r="A1916" s="886"/>
      <c r="B1916" s="887"/>
      <c r="C1916" s="888"/>
      <c r="D1916" s="889"/>
      <c r="E1916" s="890"/>
      <c r="F1916" s="891"/>
      <c r="I1916" s="893"/>
      <c r="J1916" s="894"/>
      <c r="K1916" s="895"/>
      <c r="L1916" s="895"/>
      <c r="M1916" s="895"/>
      <c r="N1916" s="898"/>
      <c r="O1916" s="682"/>
      <c r="U1916" s="596"/>
    </row>
    <row r="1917" spans="1:21" ht="19.149999999999999" customHeight="1">
      <c r="A1917" s="886"/>
      <c r="B1917" s="887"/>
      <c r="C1917" s="888"/>
      <c r="D1917" s="889"/>
      <c r="E1917" s="890"/>
      <c r="F1917" s="891"/>
      <c r="I1917" s="893"/>
      <c r="J1917" s="894"/>
      <c r="K1917" s="895"/>
      <c r="L1917" s="895"/>
      <c r="M1917" s="895"/>
      <c r="N1917" s="898"/>
      <c r="O1917" s="682"/>
      <c r="U1917" s="596"/>
    </row>
    <row r="1918" spans="1:21" ht="19.149999999999999" customHeight="1">
      <c r="A1918" s="886"/>
      <c r="B1918" s="887"/>
      <c r="C1918" s="888"/>
      <c r="D1918" s="889"/>
      <c r="E1918" s="890"/>
      <c r="F1918" s="891"/>
      <c r="I1918" s="893"/>
      <c r="J1918" s="894"/>
      <c r="K1918" s="895"/>
      <c r="L1918" s="895"/>
      <c r="M1918" s="895"/>
      <c r="N1918" s="898"/>
      <c r="O1918" s="682"/>
      <c r="U1918" s="596"/>
    </row>
    <row r="1919" spans="1:21" ht="19.149999999999999" customHeight="1">
      <c r="A1919" s="886"/>
      <c r="B1919" s="887"/>
      <c r="C1919" s="888"/>
      <c r="D1919" s="889"/>
      <c r="E1919" s="890"/>
      <c r="F1919" s="891"/>
      <c r="I1919" s="893"/>
      <c r="J1919" s="894"/>
      <c r="K1919" s="895"/>
      <c r="L1919" s="895"/>
      <c r="M1919" s="895"/>
      <c r="N1919" s="898"/>
      <c r="O1919" s="682"/>
      <c r="U1919" s="596"/>
    </row>
    <row r="1920" spans="1:21" ht="19.149999999999999" customHeight="1">
      <c r="A1920" s="886"/>
      <c r="B1920" s="887"/>
      <c r="C1920" s="888"/>
      <c r="D1920" s="889"/>
      <c r="E1920" s="890"/>
      <c r="F1920" s="891"/>
      <c r="I1920" s="893"/>
      <c r="J1920" s="894"/>
      <c r="K1920" s="895"/>
      <c r="L1920" s="895"/>
      <c r="M1920" s="895"/>
      <c r="N1920" s="898"/>
      <c r="O1920" s="682"/>
      <c r="U1920" s="596"/>
    </row>
    <row r="1921" spans="1:21" ht="19.149999999999999" customHeight="1">
      <c r="A1921" s="886"/>
      <c r="B1921" s="887"/>
      <c r="C1921" s="888"/>
      <c r="D1921" s="889"/>
      <c r="E1921" s="890"/>
      <c r="F1921" s="891"/>
      <c r="I1921" s="893"/>
      <c r="J1921" s="894"/>
      <c r="K1921" s="895"/>
      <c r="L1921" s="895"/>
      <c r="M1921" s="895"/>
      <c r="N1921" s="898"/>
      <c r="O1921" s="682"/>
      <c r="U1921" s="596"/>
    </row>
    <row r="1922" spans="1:21" ht="19.149999999999999" customHeight="1">
      <c r="A1922" s="886"/>
      <c r="B1922" s="887"/>
      <c r="C1922" s="888"/>
      <c r="D1922" s="889"/>
      <c r="E1922" s="890"/>
      <c r="F1922" s="891"/>
      <c r="I1922" s="893"/>
      <c r="J1922" s="894"/>
      <c r="K1922" s="895"/>
      <c r="L1922" s="895"/>
      <c r="M1922" s="895"/>
      <c r="N1922" s="898"/>
      <c r="O1922" s="682"/>
      <c r="U1922" s="596"/>
    </row>
    <row r="1923" spans="1:21" ht="19.149999999999999" customHeight="1">
      <c r="A1923" s="886"/>
      <c r="B1923" s="887"/>
      <c r="C1923" s="888"/>
      <c r="D1923" s="889"/>
      <c r="E1923" s="890"/>
      <c r="F1923" s="891"/>
      <c r="I1923" s="893"/>
      <c r="J1923" s="894"/>
      <c r="K1923" s="895"/>
      <c r="L1923" s="895"/>
      <c r="M1923" s="895"/>
      <c r="N1923" s="898"/>
      <c r="O1923" s="682"/>
      <c r="U1923" s="596"/>
    </row>
    <row r="1924" spans="1:21" ht="19.149999999999999" customHeight="1">
      <c r="A1924" s="886"/>
      <c r="B1924" s="887"/>
      <c r="C1924" s="888"/>
      <c r="D1924" s="889"/>
      <c r="E1924" s="890"/>
      <c r="F1924" s="891"/>
      <c r="I1924" s="893"/>
      <c r="J1924" s="894"/>
      <c r="K1924" s="895"/>
      <c r="L1924" s="895"/>
      <c r="M1924" s="895"/>
      <c r="N1924" s="898"/>
      <c r="O1924" s="682"/>
      <c r="U1924" s="596"/>
    </row>
    <row r="1925" spans="1:21" ht="19.149999999999999" customHeight="1">
      <c r="A1925" s="886"/>
      <c r="B1925" s="887"/>
      <c r="C1925" s="888"/>
      <c r="D1925" s="889"/>
      <c r="E1925" s="890"/>
      <c r="F1925" s="891"/>
      <c r="I1925" s="893"/>
      <c r="J1925" s="894"/>
      <c r="K1925" s="895"/>
      <c r="L1925" s="895"/>
      <c r="M1925" s="895"/>
      <c r="N1925" s="898"/>
      <c r="O1925" s="682"/>
      <c r="U1925" s="596"/>
    </row>
    <row r="1926" spans="1:21" ht="19.149999999999999" customHeight="1">
      <c r="A1926" s="886"/>
      <c r="B1926" s="887"/>
      <c r="C1926" s="888"/>
      <c r="D1926" s="889"/>
      <c r="E1926" s="890"/>
      <c r="F1926" s="891"/>
      <c r="I1926" s="893"/>
      <c r="J1926" s="894"/>
      <c r="K1926" s="895"/>
      <c r="L1926" s="895"/>
      <c r="M1926" s="895"/>
      <c r="N1926" s="898"/>
      <c r="O1926" s="682"/>
      <c r="U1926" s="596"/>
    </row>
    <row r="1927" spans="1:21" ht="19.149999999999999" customHeight="1">
      <c r="A1927" s="886"/>
      <c r="B1927" s="887"/>
      <c r="C1927" s="888"/>
      <c r="D1927" s="889"/>
      <c r="E1927" s="890"/>
      <c r="F1927" s="891"/>
      <c r="I1927" s="893"/>
      <c r="J1927" s="894"/>
      <c r="K1927" s="895"/>
      <c r="L1927" s="895"/>
      <c r="M1927" s="895"/>
      <c r="N1927" s="898"/>
      <c r="O1927" s="682"/>
      <c r="U1927" s="596"/>
    </row>
    <row r="1928" spans="1:21" ht="19.149999999999999" customHeight="1">
      <c r="A1928" s="886"/>
      <c r="B1928" s="887"/>
      <c r="C1928" s="888"/>
      <c r="D1928" s="889"/>
      <c r="E1928" s="890"/>
      <c r="F1928" s="891"/>
      <c r="I1928" s="893"/>
      <c r="J1928" s="894"/>
      <c r="K1928" s="895"/>
      <c r="L1928" s="895"/>
      <c r="M1928" s="895"/>
      <c r="N1928" s="898"/>
      <c r="O1928" s="682"/>
      <c r="U1928" s="596"/>
    </row>
    <row r="1929" spans="1:21" ht="19.149999999999999" customHeight="1">
      <c r="A1929" s="886"/>
      <c r="B1929" s="887"/>
      <c r="C1929" s="888"/>
      <c r="D1929" s="889"/>
      <c r="E1929" s="890"/>
      <c r="F1929" s="891"/>
      <c r="I1929" s="893"/>
      <c r="J1929" s="894"/>
      <c r="K1929" s="895"/>
      <c r="L1929" s="895"/>
      <c r="M1929" s="895"/>
      <c r="N1929" s="898"/>
      <c r="O1929" s="682"/>
      <c r="U1929" s="596"/>
    </row>
    <row r="1930" spans="1:21" ht="19.149999999999999" customHeight="1">
      <c r="A1930" s="886"/>
      <c r="B1930" s="887"/>
      <c r="C1930" s="888"/>
      <c r="D1930" s="889"/>
      <c r="E1930" s="890"/>
      <c r="F1930" s="891"/>
      <c r="I1930" s="893"/>
      <c r="J1930" s="894"/>
      <c r="K1930" s="895"/>
      <c r="L1930" s="895"/>
      <c r="M1930" s="895"/>
      <c r="N1930" s="898"/>
      <c r="O1930" s="682"/>
      <c r="U1930" s="596"/>
    </row>
    <row r="1931" spans="1:21" ht="19.149999999999999" customHeight="1">
      <c r="A1931" s="886"/>
      <c r="B1931" s="887"/>
      <c r="C1931" s="888"/>
      <c r="D1931" s="889"/>
      <c r="E1931" s="890"/>
      <c r="F1931" s="891"/>
      <c r="I1931" s="893"/>
      <c r="J1931" s="894"/>
      <c r="K1931" s="895"/>
      <c r="L1931" s="895"/>
      <c r="M1931" s="895"/>
      <c r="N1931" s="898"/>
      <c r="O1931" s="682"/>
      <c r="U1931" s="596"/>
    </row>
    <row r="1932" spans="1:21" ht="19.149999999999999" customHeight="1">
      <c r="A1932" s="886"/>
      <c r="B1932" s="887"/>
      <c r="C1932" s="888"/>
      <c r="D1932" s="889"/>
      <c r="E1932" s="890"/>
      <c r="F1932" s="891"/>
      <c r="I1932" s="893"/>
      <c r="J1932" s="894"/>
      <c r="K1932" s="895"/>
      <c r="L1932" s="895"/>
      <c r="M1932" s="895"/>
      <c r="N1932" s="898"/>
      <c r="O1932" s="682"/>
      <c r="U1932" s="596"/>
    </row>
    <row r="1933" spans="1:21" ht="19.149999999999999" customHeight="1">
      <c r="A1933" s="886"/>
      <c r="B1933" s="887"/>
      <c r="C1933" s="888"/>
      <c r="D1933" s="889"/>
      <c r="E1933" s="890"/>
      <c r="F1933" s="891"/>
      <c r="I1933" s="893"/>
      <c r="J1933" s="894"/>
      <c r="K1933" s="895"/>
      <c r="L1933" s="895"/>
      <c r="M1933" s="895"/>
      <c r="N1933" s="898"/>
      <c r="O1933" s="682"/>
      <c r="U1933" s="596"/>
    </row>
    <row r="1934" spans="1:21" ht="19.149999999999999" customHeight="1">
      <c r="A1934" s="886"/>
      <c r="B1934" s="887"/>
      <c r="C1934" s="888"/>
      <c r="D1934" s="889"/>
      <c r="E1934" s="890"/>
      <c r="F1934" s="891"/>
      <c r="I1934" s="893"/>
      <c r="J1934" s="894"/>
      <c r="K1934" s="895"/>
      <c r="L1934" s="895"/>
      <c r="M1934" s="895"/>
      <c r="N1934" s="898"/>
      <c r="O1934" s="682"/>
      <c r="U1934" s="596"/>
    </row>
    <row r="1935" spans="1:21" ht="19.149999999999999" customHeight="1">
      <c r="A1935" s="886"/>
      <c r="B1935" s="887"/>
      <c r="C1935" s="888"/>
      <c r="D1935" s="889"/>
      <c r="E1935" s="890"/>
      <c r="F1935" s="891"/>
      <c r="I1935" s="893"/>
      <c r="J1935" s="894"/>
      <c r="K1935" s="895"/>
      <c r="L1935" s="895"/>
      <c r="M1935" s="895"/>
      <c r="N1935" s="898"/>
      <c r="O1935" s="682"/>
      <c r="U1935" s="596"/>
    </row>
    <row r="1936" spans="1:21" ht="19.149999999999999" customHeight="1">
      <c r="A1936" s="886"/>
      <c r="B1936" s="887"/>
      <c r="C1936" s="888"/>
      <c r="D1936" s="889"/>
      <c r="E1936" s="890"/>
      <c r="F1936" s="891"/>
      <c r="I1936" s="893"/>
      <c r="J1936" s="894"/>
      <c r="K1936" s="895"/>
      <c r="L1936" s="895"/>
      <c r="M1936" s="895"/>
      <c r="N1936" s="898"/>
      <c r="O1936" s="682"/>
      <c r="U1936" s="596"/>
    </row>
    <row r="1937" spans="1:21" ht="19.149999999999999" customHeight="1">
      <c r="A1937" s="886"/>
      <c r="B1937" s="887"/>
      <c r="C1937" s="888"/>
      <c r="D1937" s="889"/>
      <c r="E1937" s="890"/>
      <c r="F1937" s="891"/>
      <c r="I1937" s="893"/>
      <c r="J1937" s="894"/>
      <c r="K1937" s="895"/>
      <c r="L1937" s="895"/>
      <c r="M1937" s="895"/>
      <c r="N1937" s="898"/>
      <c r="O1937" s="682"/>
      <c r="U1937" s="596"/>
    </row>
    <row r="1938" spans="1:21" ht="19.149999999999999" customHeight="1">
      <c r="A1938" s="886"/>
      <c r="B1938" s="887"/>
      <c r="C1938" s="888"/>
      <c r="D1938" s="889"/>
      <c r="E1938" s="890"/>
      <c r="F1938" s="891"/>
      <c r="I1938" s="893"/>
      <c r="J1938" s="894"/>
      <c r="K1938" s="895"/>
      <c r="L1938" s="895"/>
      <c r="M1938" s="895"/>
      <c r="N1938" s="898"/>
      <c r="O1938" s="682"/>
      <c r="U1938" s="596"/>
    </row>
    <row r="1939" spans="1:21" ht="19.149999999999999" customHeight="1">
      <c r="A1939" s="886"/>
      <c r="B1939" s="887"/>
      <c r="C1939" s="888"/>
      <c r="D1939" s="889"/>
      <c r="E1939" s="890"/>
      <c r="F1939" s="891"/>
      <c r="I1939" s="893"/>
      <c r="J1939" s="894"/>
      <c r="K1939" s="895"/>
      <c r="L1939" s="895"/>
      <c r="M1939" s="895"/>
      <c r="N1939" s="898"/>
      <c r="O1939" s="682"/>
      <c r="U1939" s="596"/>
    </row>
    <row r="1940" spans="1:21" ht="19.149999999999999" customHeight="1">
      <c r="A1940" s="886"/>
      <c r="B1940" s="887"/>
      <c r="C1940" s="888"/>
      <c r="D1940" s="889"/>
      <c r="E1940" s="890"/>
      <c r="F1940" s="891"/>
      <c r="I1940" s="893"/>
      <c r="J1940" s="894"/>
      <c r="K1940" s="895"/>
      <c r="L1940" s="895"/>
      <c r="M1940" s="895"/>
      <c r="N1940" s="898"/>
      <c r="O1940" s="682"/>
      <c r="U1940" s="596"/>
    </row>
    <row r="1941" spans="1:21" ht="19.149999999999999" customHeight="1">
      <c r="A1941" s="886"/>
      <c r="B1941" s="887"/>
      <c r="C1941" s="888"/>
      <c r="D1941" s="889"/>
      <c r="E1941" s="890"/>
      <c r="F1941" s="891"/>
      <c r="I1941" s="893"/>
      <c r="J1941" s="894"/>
      <c r="K1941" s="895"/>
      <c r="L1941" s="895"/>
      <c r="M1941" s="895"/>
      <c r="N1941" s="898"/>
      <c r="O1941" s="682"/>
      <c r="U1941" s="596"/>
    </row>
    <row r="1942" spans="1:21" ht="19.149999999999999" customHeight="1">
      <c r="A1942" s="886"/>
      <c r="B1942" s="887"/>
      <c r="C1942" s="888"/>
      <c r="D1942" s="889"/>
      <c r="E1942" s="890"/>
      <c r="F1942" s="891"/>
      <c r="I1942" s="893"/>
      <c r="J1942" s="894"/>
      <c r="K1942" s="895"/>
      <c r="L1942" s="895"/>
      <c r="M1942" s="895"/>
      <c r="N1942" s="898"/>
      <c r="O1942" s="682"/>
      <c r="U1942" s="596"/>
    </row>
    <row r="1943" spans="1:21" ht="19.149999999999999" customHeight="1">
      <c r="A1943" s="886"/>
      <c r="B1943" s="887"/>
      <c r="C1943" s="888"/>
      <c r="D1943" s="889"/>
      <c r="E1943" s="890"/>
      <c r="F1943" s="891"/>
      <c r="I1943" s="893"/>
      <c r="J1943" s="894"/>
      <c r="K1943" s="895"/>
      <c r="L1943" s="895"/>
      <c r="M1943" s="895"/>
      <c r="N1943" s="898"/>
      <c r="O1943" s="682"/>
      <c r="U1943" s="596"/>
    </row>
    <row r="1944" spans="1:21" ht="19.149999999999999" customHeight="1">
      <c r="A1944" s="886"/>
      <c r="B1944" s="887"/>
      <c r="C1944" s="888"/>
      <c r="D1944" s="889"/>
      <c r="E1944" s="890"/>
      <c r="F1944" s="891"/>
      <c r="I1944" s="893"/>
      <c r="J1944" s="894"/>
      <c r="K1944" s="895"/>
      <c r="L1944" s="895"/>
      <c r="M1944" s="895"/>
      <c r="N1944" s="898"/>
      <c r="O1944" s="682"/>
      <c r="U1944" s="596"/>
    </row>
    <row r="1945" spans="1:21" ht="19.149999999999999" customHeight="1">
      <c r="A1945" s="886"/>
      <c r="B1945" s="887"/>
      <c r="C1945" s="888"/>
      <c r="D1945" s="889"/>
      <c r="E1945" s="890"/>
      <c r="F1945" s="891"/>
      <c r="I1945" s="893"/>
      <c r="J1945" s="894"/>
      <c r="K1945" s="895"/>
      <c r="L1945" s="895"/>
      <c r="M1945" s="895"/>
      <c r="N1945" s="898"/>
      <c r="O1945" s="682"/>
      <c r="U1945" s="596"/>
    </row>
    <row r="1946" spans="1:21" ht="19.149999999999999" customHeight="1">
      <c r="A1946" s="886"/>
      <c r="B1946" s="887"/>
      <c r="C1946" s="888"/>
      <c r="D1946" s="889"/>
      <c r="E1946" s="890"/>
      <c r="F1946" s="891"/>
      <c r="I1946" s="893"/>
      <c r="J1946" s="894"/>
      <c r="K1946" s="895"/>
      <c r="L1946" s="895"/>
      <c r="M1946" s="895"/>
      <c r="N1946" s="898"/>
      <c r="O1946" s="682"/>
      <c r="U1946" s="596"/>
    </row>
    <row r="1947" spans="1:21" ht="19.149999999999999" customHeight="1">
      <c r="A1947" s="886"/>
      <c r="B1947" s="887"/>
      <c r="C1947" s="888"/>
      <c r="D1947" s="889"/>
      <c r="E1947" s="890"/>
      <c r="F1947" s="891"/>
      <c r="I1947" s="893"/>
      <c r="J1947" s="894"/>
      <c r="K1947" s="895"/>
      <c r="L1947" s="895"/>
      <c r="M1947" s="895"/>
      <c r="N1947" s="898"/>
      <c r="O1947" s="682"/>
      <c r="U1947" s="596"/>
    </row>
    <row r="1948" spans="1:21" ht="19.149999999999999" customHeight="1">
      <c r="A1948" s="886"/>
      <c r="B1948" s="887"/>
      <c r="C1948" s="888"/>
      <c r="D1948" s="889"/>
      <c r="E1948" s="890"/>
      <c r="F1948" s="891"/>
      <c r="I1948" s="893"/>
      <c r="J1948" s="894"/>
      <c r="K1948" s="895"/>
      <c r="L1948" s="895"/>
      <c r="M1948" s="895"/>
      <c r="N1948" s="898"/>
      <c r="O1948" s="682"/>
      <c r="U1948" s="596"/>
    </row>
    <row r="1949" spans="1:21" ht="19.149999999999999" customHeight="1">
      <c r="A1949" s="886"/>
      <c r="B1949" s="887"/>
      <c r="C1949" s="888"/>
      <c r="D1949" s="889"/>
      <c r="E1949" s="890"/>
      <c r="F1949" s="891"/>
      <c r="I1949" s="893"/>
      <c r="J1949" s="894"/>
      <c r="K1949" s="895"/>
      <c r="L1949" s="895"/>
      <c r="M1949" s="895"/>
      <c r="N1949" s="898"/>
      <c r="O1949" s="682"/>
      <c r="U1949" s="596"/>
    </row>
    <row r="1950" spans="1:21" ht="19.149999999999999" customHeight="1">
      <c r="A1950" s="886"/>
      <c r="B1950" s="887"/>
      <c r="C1950" s="888"/>
      <c r="D1950" s="889"/>
      <c r="E1950" s="890"/>
      <c r="F1950" s="891"/>
      <c r="I1950" s="893"/>
      <c r="J1950" s="894"/>
      <c r="K1950" s="895"/>
      <c r="L1950" s="895"/>
      <c r="M1950" s="895"/>
      <c r="N1950" s="898"/>
      <c r="O1950" s="682"/>
      <c r="U1950" s="596"/>
    </row>
    <row r="1951" spans="1:21" ht="19.149999999999999" customHeight="1">
      <c r="A1951" s="886"/>
      <c r="B1951" s="887"/>
      <c r="C1951" s="888"/>
      <c r="D1951" s="889"/>
      <c r="E1951" s="890"/>
      <c r="F1951" s="891"/>
      <c r="I1951" s="893"/>
      <c r="J1951" s="894"/>
      <c r="K1951" s="895"/>
      <c r="L1951" s="895"/>
      <c r="M1951" s="895"/>
      <c r="N1951" s="898"/>
      <c r="O1951" s="682"/>
      <c r="U1951" s="596"/>
    </row>
    <row r="1952" spans="1:21" ht="19.149999999999999" customHeight="1">
      <c r="A1952" s="886"/>
      <c r="B1952" s="887"/>
      <c r="C1952" s="888"/>
      <c r="D1952" s="889"/>
      <c r="E1952" s="890"/>
      <c r="F1952" s="891"/>
      <c r="I1952" s="893"/>
      <c r="J1952" s="894"/>
      <c r="K1952" s="895"/>
      <c r="L1952" s="895"/>
      <c r="M1952" s="895"/>
      <c r="N1952" s="898"/>
      <c r="O1952" s="682"/>
      <c r="U1952" s="596"/>
    </row>
    <row r="1953" spans="1:21" ht="19.149999999999999" customHeight="1">
      <c r="A1953" s="886"/>
      <c r="B1953" s="887"/>
      <c r="C1953" s="888"/>
      <c r="D1953" s="889"/>
      <c r="E1953" s="890"/>
      <c r="F1953" s="891"/>
      <c r="I1953" s="893"/>
      <c r="J1953" s="894"/>
      <c r="K1953" s="895"/>
      <c r="L1953" s="895"/>
      <c r="M1953" s="895"/>
      <c r="N1953" s="898"/>
      <c r="O1953" s="682"/>
      <c r="U1953" s="596"/>
    </row>
    <row r="1954" spans="1:21" ht="19.149999999999999" customHeight="1">
      <c r="A1954" s="886"/>
      <c r="B1954" s="887"/>
      <c r="C1954" s="888"/>
      <c r="D1954" s="889"/>
      <c r="E1954" s="890"/>
      <c r="F1954" s="891"/>
      <c r="I1954" s="893"/>
      <c r="J1954" s="894"/>
      <c r="K1954" s="895"/>
      <c r="L1954" s="895"/>
      <c r="M1954" s="895"/>
      <c r="N1954" s="898"/>
      <c r="O1954" s="682"/>
      <c r="U1954" s="596"/>
    </row>
    <row r="1955" spans="1:21" ht="19.149999999999999" customHeight="1">
      <c r="A1955" s="886"/>
      <c r="B1955" s="887"/>
      <c r="C1955" s="888"/>
      <c r="D1955" s="889"/>
      <c r="E1955" s="890"/>
      <c r="F1955" s="891"/>
      <c r="I1955" s="893"/>
      <c r="J1955" s="894"/>
      <c r="K1955" s="895"/>
      <c r="L1955" s="895"/>
      <c r="M1955" s="895"/>
      <c r="N1955" s="898"/>
      <c r="O1955" s="682"/>
      <c r="U1955" s="596"/>
    </row>
    <row r="1956" spans="1:21" ht="19.149999999999999" customHeight="1">
      <c r="A1956" s="886"/>
      <c r="B1956" s="887"/>
      <c r="C1956" s="888"/>
      <c r="D1956" s="889"/>
      <c r="E1956" s="890"/>
      <c r="F1956" s="891"/>
      <c r="I1956" s="893"/>
      <c r="J1956" s="894"/>
      <c r="K1956" s="895"/>
      <c r="L1956" s="895"/>
      <c r="M1956" s="895"/>
      <c r="N1956" s="898"/>
      <c r="O1956" s="682"/>
      <c r="U1956" s="596"/>
    </row>
    <row r="1957" spans="1:21" ht="19.149999999999999" customHeight="1">
      <c r="A1957" s="886"/>
      <c r="B1957" s="887"/>
      <c r="C1957" s="888"/>
      <c r="D1957" s="889"/>
      <c r="E1957" s="890"/>
      <c r="F1957" s="891"/>
      <c r="I1957" s="893"/>
      <c r="J1957" s="894"/>
      <c r="K1957" s="895"/>
      <c r="L1957" s="895"/>
      <c r="M1957" s="895"/>
      <c r="N1957" s="898"/>
      <c r="O1957" s="682"/>
      <c r="U1957" s="596"/>
    </row>
    <row r="1958" spans="1:21" ht="19.149999999999999" customHeight="1">
      <c r="A1958" s="886"/>
      <c r="B1958" s="887"/>
      <c r="C1958" s="888"/>
      <c r="D1958" s="889"/>
      <c r="E1958" s="890"/>
      <c r="F1958" s="891"/>
      <c r="I1958" s="893"/>
      <c r="J1958" s="894"/>
      <c r="K1958" s="895"/>
      <c r="L1958" s="895"/>
      <c r="M1958" s="895"/>
      <c r="N1958" s="898"/>
      <c r="O1958" s="682"/>
      <c r="U1958" s="596"/>
    </row>
    <row r="1959" spans="1:21" ht="19.149999999999999" customHeight="1">
      <c r="A1959" s="886"/>
      <c r="B1959" s="887"/>
      <c r="C1959" s="888"/>
      <c r="D1959" s="889"/>
      <c r="E1959" s="890"/>
      <c r="F1959" s="891"/>
      <c r="I1959" s="893"/>
      <c r="J1959" s="894"/>
      <c r="K1959" s="895"/>
      <c r="L1959" s="895"/>
      <c r="M1959" s="895"/>
      <c r="N1959" s="898"/>
      <c r="O1959" s="682"/>
      <c r="U1959" s="596"/>
    </row>
    <row r="1960" spans="1:21" ht="19.149999999999999" customHeight="1">
      <c r="A1960" s="886"/>
      <c r="B1960" s="887"/>
      <c r="C1960" s="888"/>
      <c r="D1960" s="889"/>
      <c r="E1960" s="890"/>
      <c r="F1960" s="891"/>
      <c r="I1960" s="893"/>
      <c r="J1960" s="894"/>
      <c r="K1960" s="895"/>
      <c r="L1960" s="895"/>
      <c r="M1960" s="895"/>
      <c r="N1960" s="898"/>
      <c r="O1960" s="682"/>
      <c r="U1960" s="596"/>
    </row>
    <row r="1961" spans="1:21" ht="19.149999999999999" customHeight="1">
      <c r="A1961" s="886"/>
      <c r="B1961" s="887"/>
      <c r="C1961" s="888"/>
      <c r="D1961" s="889"/>
      <c r="E1961" s="890"/>
      <c r="F1961" s="891"/>
      <c r="I1961" s="893"/>
      <c r="J1961" s="894"/>
      <c r="K1961" s="895"/>
      <c r="L1961" s="895"/>
      <c r="M1961" s="895"/>
      <c r="N1961" s="898"/>
      <c r="O1961" s="682"/>
      <c r="U1961" s="596"/>
    </row>
    <row r="1962" spans="1:21" ht="19.149999999999999" customHeight="1">
      <c r="A1962" s="886"/>
      <c r="B1962" s="887"/>
      <c r="C1962" s="888"/>
      <c r="D1962" s="889"/>
      <c r="E1962" s="890"/>
      <c r="F1962" s="891"/>
      <c r="I1962" s="893"/>
      <c r="J1962" s="894"/>
      <c r="K1962" s="895"/>
      <c r="L1962" s="895"/>
      <c r="M1962" s="895"/>
      <c r="N1962" s="898"/>
      <c r="O1962" s="682"/>
      <c r="U1962" s="596"/>
    </row>
    <row r="1963" spans="1:21" ht="19.149999999999999" customHeight="1">
      <c r="A1963" s="886"/>
      <c r="B1963" s="887"/>
      <c r="C1963" s="888"/>
      <c r="D1963" s="889"/>
      <c r="E1963" s="890"/>
      <c r="F1963" s="891"/>
      <c r="I1963" s="893"/>
      <c r="J1963" s="894"/>
      <c r="K1963" s="895"/>
      <c r="L1963" s="895"/>
      <c r="M1963" s="895"/>
      <c r="N1963" s="898"/>
      <c r="O1963" s="682"/>
      <c r="U1963" s="596"/>
    </row>
    <row r="1964" spans="1:21" ht="19.149999999999999" customHeight="1">
      <c r="A1964" s="886"/>
      <c r="B1964" s="887"/>
      <c r="C1964" s="888"/>
      <c r="D1964" s="889"/>
      <c r="E1964" s="890"/>
      <c r="F1964" s="891"/>
      <c r="I1964" s="893"/>
      <c r="J1964" s="894"/>
      <c r="K1964" s="895"/>
      <c r="L1964" s="895"/>
      <c r="M1964" s="895"/>
      <c r="N1964" s="898"/>
      <c r="O1964" s="682"/>
      <c r="U1964" s="596"/>
    </row>
    <row r="1965" spans="1:21" ht="19.149999999999999" customHeight="1">
      <c r="A1965" s="886"/>
      <c r="B1965" s="887"/>
      <c r="C1965" s="888"/>
      <c r="D1965" s="889"/>
      <c r="E1965" s="890"/>
      <c r="F1965" s="891"/>
      <c r="I1965" s="893"/>
      <c r="J1965" s="894"/>
      <c r="K1965" s="895"/>
      <c r="L1965" s="895"/>
      <c r="M1965" s="895"/>
      <c r="N1965" s="898"/>
      <c r="O1965" s="682"/>
      <c r="U1965" s="596"/>
    </row>
    <row r="1966" spans="1:21" ht="19.149999999999999" customHeight="1">
      <c r="A1966" s="886"/>
      <c r="B1966" s="887"/>
      <c r="C1966" s="888"/>
      <c r="D1966" s="889"/>
      <c r="E1966" s="890"/>
      <c r="F1966" s="891"/>
      <c r="I1966" s="893"/>
      <c r="J1966" s="894"/>
      <c r="K1966" s="895"/>
      <c r="L1966" s="895"/>
      <c r="M1966" s="895"/>
      <c r="N1966" s="898"/>
      <c r="O1966" s="682"/>
      <c r="U1966" s="596"/>
    </row>
    <row r="1967" spans="1:21" ht="19.149999999999999" customHeight="1">
      <c r="A1967" s="886"/>
      <c r="B1967" s="887"/>
      <c r="C1967" s="888"/>
      <c r="D1967" s="889"/>
      <c r="E1967" s="890"/>
      <c r="F1967" s="891"/>
      <c r="I1967" s="893"/>
      <c r="J1967" s="894"/>
      <c r="K1967" s="895"/>
      <c r="L1967" s="895"/>
      <c r="M1967" s="895"/>
      <c r="N1967" s="898"/>
      <c r="O1967" s="682"/>
      <c r="U1967" s="596"/>
    </row>
    <row r="1968" spans="1:21" ht="19.149999999999999" customHeight="1">
      <c r="A1968" s="886"/>
      <c r="B1968" s="887"/>
      <c r="C1968" s="888"/>
      <c r="D1968" s="889"/>
      <c r="E1968" s="890"/>
      <c r="F1968" s="891"/>
      <c r="I1968" s="893"/>
      <c r="J1968" s="894"/>
      <c r="K1968" s="895"/>
      <c r="L1968" s="895"/>
      <c r="M1968" s="895"/>
      <c r="N1968" s="898"/>
      <c r="O1968" s="682"/>
      <c r="U1968" s="596"/>
    </row>
    <row r="1969" spans="1:21" ht="19.149999999999999" customHeight="1">
      <c r="A1969" s="886"/>
      <c r="B1969" s="887"/>
      <c r="C1969" s="888"/>
      <c r="D1969" s="889"/>
      <c r="E1969" s="890"/>
      <c r="F1969" s="891"/>
      <c r="I1969" s="893"/>
      <c r="J1969" s="894"/>
      <c r="K1969" s="895"/>
      <c r="L1969" s="895"/>
      <c r="M1969" s="895"/>
      <c r="N1969" s="898"/>
      <c r="O1969" s="682"/>
      <c r="U1969" s="596"/>
    </row>
    <row r="1970" spans="1:21" ht="19.149999999999999" customHeight="1">
      <c r="A1970" s="886"/>
      <c r="B1970" s="887"/>
      <c r="C1970" s="888"/>
      <c r="D1970" s="889"/>
      <c r="E1970" s="890"/>
      <c r="F1970" s="891"/>
      <c r="I1970" s="893"/>
      <c r="J1970" s="894"/>
      <c r="K1970" s="895"/>
      <c r="L1970" s="895"/>
      <c r="M1970" s="895"/>
      <c r="N1970" s="898"/>
      <c r="O1970" s="682"/>
      <c r="U1970" s="596"/>
    </row>
    <row r="1971" spans="1:21" ht="19.149999999999999" customHeight="1">
      <c r="A1971" s="886"/>
      <c r="B1971" s="887"/>
      <c r="C1971" s="888"/>
      <c r="D1971" s="889"/>
      <c r="E1971" s="890"/>
      <c r="F1971" s="891"/>
      <c r="I1971" s="893"/>
      <c r="J1971" s="894"/>
      <c r="K1971" s="895"/>
      <c r="L1971" s="895"/>
      <c r="M1971" s="895"/>
      <c r="N1971" s="898"/>
      <c r="O1971" s="682"/>
      <c r="U1971" s="596"/>
    </row>
    <row r="1972" spans="1:21" ht="19.149999999999999" customHeight="1">
      <c r="A1972" s="886"/>
      <c r="B1972" s="887"/>
      <c r="C1972" s="888"/>
      <c r="D1972" s="889"/>
      <c r="E1972" s="890"/>
      <c r="F1972" s="891"/>
      <c r="I1972" s="893"/>
      <c r="J1972" s="894"/>
      <c r="K1972" s="895"/>
      <c r="L1972" s="895"/>
      <c r="M1972" s="895"/>
      <c r="N1972" s="898"/>
      <c r="O1972" s="682"/>
      <c r="U1972" s="596"/>
    </row>
    <row r="1973" spans="1:21" ht="19.149999999999999" customHeight="1">
      <c r="A1973" s="886"/>
      <c r="B1973" s="887"/>
      <c r="C1973" s="888"/>
      <c r="D1973" s="889"/>
      <c r="E1973" s="890"/>
      <c r="F1973" s="891"/>
      <c r="I1973" s="893"/>
      <c r="J1973" s="894"/>
      <c r="K1973" s="895"/>
      <c r="L1973" s="895"/>
      <c r="M1973" s="895"/>
      <c r="N1973" s="898"/>
      <c r="O1973" s="682"/>
      <c r="U1973" s="596"/>
    </row>
    <row r="1974" spans="1:21" ht="19.149999999999999" customHeight="1">
      <c r="A1974" s="886"/>
      <c r="B1974" s="887"/>
      <c r="C1974" s="888"/>
      <c r="D1974" s="889"/>
      <c r="E1974" s="890"/>
      <c r="F1974" s="891"/>
      <c r="I1974" s="893"/>
      <c r="J1974" s="894"/>
      <c r="K1974" s="895"/>
      <c r="L1974" s="895"/>
      <c r="M1974" s="895"/>
      <c r="N1974" s="898"/>
      <c r="O1974" s="682"/>
      <c r="U1974" s="596"/>
    </row>
    <row r="1975" spans="1:21" ht="19.149999999999999" customHeight="1">
      <c r="A1975" s="886"/>
      <c r="B1975" s="887"/>
      <c r="C1975" s="888"/>
      <c r="D1975" s="889"/>
      <c r="E1975" s="890"/>
      <c r="F1975" s="891"/>
      <c r="I1975" s="893"/>
      <c r="J1975" s="894"/>
      <c r="K1975" s="895"/>
      <c r="L1975" s="895"/>
      <c r="M1975" s="895"/>
      <c r="N1975" s="898"/>
      <c r="O1975" s="682"/>
      <c r="U1975" s="596"/>
    </row>
    <row r="1976" spans="1:21" ht="19.149999999999999" customHeight="1">
      <c r="A1976" s="886"/>
      <c r="B1976" s="887"/>
      <c r="C1976" s="888"/>
      <c r="D1976" s="889"/>
      <c r="E1976" s="890"/>
      <c r="F1976" s="891"/>
      <c r="I1976" s="893"/>
      <c r="J1976" s="894"/>
      <c r="K1976" s="895"/>
      <c r="L1976" s="895"/>
      <c r="M1976" s="895"/>
      <c r="N1976" s="898"/>
      <c r="O1976" s="682"/>
      <c r="U1976" s="596"/>
    </row>
    <row r="1977" spans="1:21" ht="19.149999999999999" customHeight="1">
      <c r="A1977" s="886"/>
      <c r="B1977" s="887"/>
      <c r="C1977" s="888"/>
      <c r="D1977" s="889"/>
      <c r="E1977" s="890"/>
      <c r="F1977" s="891"/>
      <c r="I1977" s="893"/>
      <c r="J1977" s="894"/>
      <c r="K1977" s="895"/>
      <c r="L1977" s="895"/>
      <c r="M1977" s="895"/>
      <c r="N1977" s="898"/>
      <c r="O1977" s="682"/>
      <c r="U1977" s="596"/>
    </row>
    <row r="1978" spans="1:21" ht="19.149999999999999" customHeight="1">
      <c r="A1978" s="886"/>
      <c r="B1978" s="887"/>
      <c r="C1978" s="888"/>
      <c r="D1978" s="889"/>
      <c r="E1978" s="890"/>
      <c r="F1978" s="891"/>
      <c r="I1978" s="893"/>
      <c r="J1978" s="894"/>
      <c r="K1978" s="895"/>
      <c r="L1978" s="895"/>
      <c r="M1978" s="895"/>
      <c r="N1978" s="898"/>
      <c r="O1978" s="682"/>
      <c r="U1978" s="596"/>
    </row>
    <row r="1979" spans="1:21" ht="19.149999999999999" customHeight="1">
      <c r="A1979" s="886"/>
      <c r="B1979" s="887"/>
      <c r="C1979" s="888"/>
      <c r="D1979" s="889"/>
      <c r="E1979" s="890"/>
      <c r="F1979" s="891"/>
      <c r="I1979" s="893"/>
      <c r="J1979" s="894"/>
      <c r="K1979" s="895"/>
      <c r="L1979" s="895"/>
      <c r="M1979" s="895"/>
      <c r="N1979" s="898"/>
      <c r="O1979" s="682"/>
      <c r="U1979" s="596"/>
    </row>
    <row r="1980" spans="1:21" ht="19.149999999999999" customHeight="1">
      <c r="A1980" s="886"/>
      <c r="B1980" s="887"/>
      <c r="C1980" s="888"/>
      <c r="D1980" s="889"/>
      <c r="E1980" s="890"/>
      <c r="F1980" s="891"/>
      <c r="I1980" s="893"/>
      <c r="J1980" s="894"/>
      <c r="K1980" s="895"/>
      <c r="L1980" s="895"/>
      <c r="M1980" s="895"/>
      <c r="N1980" s="898"/>
      <c r="O1980" s="682"/>
      <c r="U1980" s="596"/>
    </row>
    <row r="1981" spans="1:21" ht="19.149999999999999" customHeight="1">
      <c r="A1981" s="886"/>
      <c r="B1981" s="887"/>
      <c r="C1981" s="888"/>
      <c r="D1981" s="889"/>
      <c r="E1981" s="890"/>
      <c r="F1981" s="891"/>
      <c r="I1981" s="893"/>
      <c r="J1981" s="894"/>
      <c r="K1981" s="895"/>
      <c r="L1981" s="895"/>
      <c r="M1981" s="895"/>
      <c r="N1981" s="898"/>
      <c r="O1981" s="682"/>
      <c r="U1981" s="596"/>
    </row>
    <row r="1982" spans="1:21" ht="19.149999999999999" customHeight="1">
      <c r="A1982" s="886"/>
      <c r="B1982" s="887"/>
      <c r="C1982" s="888"/>
      <c r="D1982" s="889"/>
      <c r="E1982" s="890"/>
      <c r="F1982" s="891"/>
      <c r="I1982" s="893"/>
      <c r="J1982" s="894"/>
      <c r="K1982" s="895"/>
      <c r="L1982" s="895"/>
      <c r="M1982" s="895"/>
      <c r="N1982" s="898"/>
      <c r="O1982" s="682"/>
      <c r="U1982" s="596"/>
    </row>
    <row r="1983" spans="1:21" ht="19.149999999999999" customHeight="1">
      <c r="A1983" s="886"/>
      <c r="B1983" s="887"/>
      <c r="C1983" s="888"/>
      <c r="D1983" s="889"/>
      <c r="E1983" s="890"/>
      <c r="F1983" s="891"/>
      <c r="I1983" s="893"/>
      <c r="J1983" s="894"/>
      <c r="K1983" s="895"/>
      <c r="L1983" s="895"/>
      <c r="M1983" s="895"/>
      <c r="N1983" s="898"/>
      <c r="O1983" s="682"/>
      <c r="U1983" s="596"/>
    </row>
    <row r="1984" spans="1:21" ht="19.149999999999999" customHeight="1">
      <c r="A1984" s="886"/>
      <c r="B1984" s="887"/>
      <c r="C1984" s="888"/>
      <c r="D1984" s="889"/>
      <c r="E1984" s="890"/>
      <c r="F1984" s="891"/>
      <c r="I1984" s="893"/>
      <c r="J1984" s="894"/>
      <c r="K1984" s="895"/>
      <c r="L1984" s="895"/>
      <c r="M1984" s="895"/>
      <c r="N1984" s="898"/>
      <c r="O1984" s="682"/>
      <c r="U1984" s="596"/>
    </row>
    <row r="1985" spans="1:21" ht="19.149999999999999" customHeight="1">
      <c r="A1985" s="886"/>
      <c r="B1985" s="887"/>
      <c r="C1985" s="888"/>
      <c r="D1985" s="889"/>
      <c r="E1985" s="890"/>
      <c r="F1985" s="891"/>
      <c r="I1985" s="893"/>
      <c r="J1985" s="894"/>
      <c r="K1985" s="895"/>
      <c r="L1985" s="895"/>
      <c r="M1985" s="895"/>
      <c r="N1985" s="898"/>
      <c r="O1985" s="682"/>
      <c r="U1985" s="596"/>
    </row>
    <row r="1986" spans="1:21" ht="19.149999999999999" customHeight="1">
      <c r="A1986" s="886"/>
      <c r="B1986" s="887"/>
      <c r="C1986" s="888"/>
      <c r="D1986" s="889"/>
      <c r="E1986" s="890"/>
      <c r="F1986" s="891"/>
      <c r="I1986" s="893"/>
      <c r="J1986" s="894"/>
      <c r="K1986" s="895"/>
      <c r="L1986" s="895"/>
      <c r="M1986" s="895"/>
      <c r="N1986" s="898"/>
      <c r="O1986" s="682"/>
      <c r="U1986" s="596"/>
    </row>
    <row r="1987" spans="1:21" ht="19.149999999999999" customHeight="1">
      <c r="A1987" s="886"/>
      <c r="B1987" s="887"/>
      <c r="C1987" s="888"/>
      <c r="D1987" s="889"/>
      <c r="E1987" s="890"/>
      <c r="F1987" s="891"/>
      <c r="I1987" s="893"/>
      <c r="J1987" s="894"/>
      <c r="K1987" s="895"/>
      <c r="L1987" s="895"/>
      <c r="M1987" s="895"/>
      <c r="N1987" s="898"/>
      <c r="O1987" s="682"/>
      <c r="U1987" s="596"/>
    </row>
    <row r="1988" spans="1:21" ht="19.149999999999999" customHeight="1">
      <c r="A1988" s="886"/>
      <c r="B1988" s="887"/>
      <c r="C1988" s="888"/>
      <c r="D1988" s="889"/>
      <c r="E1988" s="890"/>
      <c r="F1988" s="891"/>
      <c r="I1988" s="893"/>
      <c r="J1988" s="894"/>
      <c r="K1988" s="895"/>
      <c r="L1988" s="895"/>
      <c r="M1988" s="895"/>
      <c r="N1988" s="898"/>
      <c r="O1988" s="682"/>
      <c r="U1988" s="596"/>
    </row>
    <row r="1989" spans="1:21" ht="19.149999999999999" customHeight="1">
      <c r="A1989" s="886"/>
      <c r="B1989" s="887"/>
      <c r="C1989" s="888"/>
      <c r="D1989" s="889"/>
      <c r="E1989" s="890"/>
      <c r="F1989" s="891"/>
      <c r="I1989" s="893"/>
      <c r="J1989" s="894"/>
      <c r="K1989" s="895"/>
      <c r="L1989" s="895"/>
      <c r="M1989" s="895"/>
      <c r="N1989" s="898"/>
      <c r="O1989" s="682"/>
      <c r="U1989" s="596"/>
    </row>
    <row r="1990" spans="1:21" ht="19.149999999999999" customHeight="1">
      <c r="A1990" s="886"/>
      <c r="B1990" s="887"/>
      <c r="C1990" s="888"/>
      <c r="D1990" s="889"/>
      <c r="E1990" s="890"/>
      <c r="F1990" s="891"/>
      <c r="I1990" s="893"/>
      <c r="J1990" s="894"/>
      <c r="K1990" s="895"/>
      <c r="L1990" s="895"/>
      <c r="M1990" s="895"/>
      <c r="N1990" s="898"/>
      <c r="O1990" s="682"/>
      <c r="U1990" s="596"/>
    </row>
    <row r="1991" spans="1:21" ht="19.149999999999999" customHeight="1">
      <c r="A1991" s="886"/>
      <c r="B1991" s="887"/>
      <c r="C1991" s="888"/>
      <c r="D1991" s="889"/>
      <c r="E1991" s="890"/>
      <c r="F1991" s="891"/>
      <c r="I1991" s="893"/>
      <c r="J1991" s="894"/>
      <c r="K1991" s="895"/>
      <c r="L1991" s="895"/>
      <c r="M1991" s="895"/>
      <c r="N1991" s="898"/>
      <c r="O1991" s="682"/>
      <c r="U1991" s="596"/>
    </row>
    <row r="1992" spans="1:21" ht="19.149999999999999" customHeight="1">
      <c r="A1992" s="886"/>
      <c r="B1992" s="887"/>
      <c r="C1992" s="888"/>
      <c r="D1992" s="889"/>
      <c r="E1992" s="890"/>
      <c r="F1992" s="891"/>
      <c r="I1992" s="893"/>
      <c r="J1992" s="894"/>
      <c r="K1992" s="895"/>
      <c r="L1992" s="895"/>
      <c r="M1992" s="895"/>
      <c r="N1992" s="898"/>
      <c r="O1992" s="682"/>
      <c r="U1992" s="596"/>
    </row>
    <row r="1993" spans="1:21" ht="19.149999999999999" customHeight="1">
      <c r="A1993" s="886"/>
      <c r="B1993" s="887"/>
      <c r="C1993" s="888"/>
      <c r="D1993" s="889"/>
      <c r="E1993" s="890"/>
      <c r="F1993" s="891"/>
      <c r="I1993" s="893"/>
      <c r="J1993" s="894"/>
      <c r="K1993" s="895"/>
      <c r="L1993" s="895"/>
      <c r="M1993" s="895"/>
      <c r="N1993" s="898"/>
      <c r="O1993" s="682"/>
      <c r="U1993" s="596"/>
    </row>
    <row r="1994" spans="1:21" ht="19.149999999999999" customHeight="1">
      <c r="A1994" s="886"/>
      <c r="B1994" s="887"/>
      <c r="C1994" s="888"/>
      <c r="D1994" s="889"/>
      <c r="E1994" s="890"/>
      <c r="F1994" s="891"/>
      <c r="I1994" s="893"/>
      <c r="J1994" s="894"/>
      <c r="K1994" s="895"/>
      <c r="L1994" s="895"/>
      <c r="M1994" s="895"/>
      <c r="N1994" s="898"/>
      <c r="O1994" s="682"/>
      <c r="U1994" s="596"/>
    </row>
    <row r="1995" spans="1:21" ht="19.149999999999999" customHeight="1">
      <c r="A1995" s="886"/>
      <c r="B1995" s="887"/>
      <c r="C1995" s="888"/>
      <c r="D1995" s="889"/>
      <c r="E1995" s="890"/>
      <c r="F1995" s="891"/>
      <c r="I1995" s="893"/>
      <c r="J1995" s="894"/>
      <c r="K1995" s="895"/>
      <c r="L1995" s="895"/>
      <c r="M1995" s="895"/>
      <c r="N1995" s="898"/>
      <c r="O1995" s="682"/>
      <c r="U1995" s="596"/>
    </row>
    <row r="1996" spans="1:21" ht="19.149999999999999" customHeight="1">
      <c r="A1996" s="886"/>
      <c r="B1996" s="887"/>
      <c r="C1996" s="888"/>
      <c r="D1996" s="889"/>
      <c r="E1996" s="890"/>
      <c r="F1996" s="891"/>
      <c r="I1996" s="893"/>
      <c r="J1996" s="894"/>
      <c r="K1996" s="895"/>
      <c r="L1996" s="895"/>
      <c r="M1996" s="895"/>
      <c r="N1996" s="898"/>
      <c r="O1996" s="682"/>
      <c r="U1996" s="596"/>
    </row>
    <row r="1997" spans="1:21" ht="19.149999999999999" customHeight="1">
      <c r="A1997" s="886"/>
      <c r="B1997" s="887"/>
      <c r="C1997" s="888"/>
      <c r="D1997" s="889"/>
      <c r="E1997" s="890"/>
      <c r="F1997" s="891"/>
      <c r="I1997" s="893"/>
      <c r="J1997" s="894"/>
      <c r="K1997" s="895"/>
      <c r="L1997" s="895"/>
      <c r="M1997" s="895"/>
      <c r="N1997" s="898"/>
      <c r="O1997" s="682"/>
      <c r="U1997" s="596"/>
    </row>
    <row r="1998" spans="1:21" ht="19.149999999999999" customHeight="1">
      <c r="A1998" s="886"/>
      <c r="B1998" s="887"/>
      <c r="C1998" s="888"/>
      <c r="D1998" s="889"/>
      <c r="E1998" s="890"/>
      <c r="F1998" s="891"/>
      <c r="I1998" s="893"/>
      <c r="J1998" s="894"/>
      <c r="K1998" s="895"/>
      <c r="L1998" s="895"/>
      <c r="M1998" s="895"/>
      <c r="N1998" s="898"/>
      <c r="O1998" s="682"/>
      <c r="U1998" s="596"/>
    </row>
    <row r="1999" spans="1:21" ht="19.149999999999999" customHeight="1">
      <c r="A1999" s="886"/>
      <c r="B1999" s="887"/>
      <c r="C1999" s="888"/>
      <c r="D1999" s="889"/>
      <c r="E1999" s="890"/>
      <c r="F1999" s="891"/>
      <c r="I1999" s="893"/>
      <c r="J1999" s="894"/>
      <c r="K1999" s="895"/>
      <c r="L1999" s="895"/>
      <c r="M1999" s="895"/>
      <c r="N1999" s="898"/>
      <c r="O1999" s="682"/>
      <c r="U1999" s="596"/>
    </row>
    <row r="2000" spans="1:21" ht="19.149999999999999" customHeight="1">
      <c r="A2000" s="886"/>
      <c r="B2000" s="887"/>
      <c r="C2000" s="888"/>
      <c r="D2000" s="889"/>
      <c r="E2000" s="890"/>
      <c r="F2000" s="891"/>
      <c r="I2000" s="893"/>
      <c r="J2000" s="894"/>
      <c r="K2000" s="895"/>
      <c r="L2000" s="895"/>
      <c r="M2000" s="895"/>
      <c r="N2000" s="898"/>
      <c r="O2000" s="682"/>
      <c r="U2000" s="596"/>
    </row>
    <row r="2001" spans="1:21" ht="19.149999999999999" customHeight="1">
      <c r="A2001" s="886"/>
      <c r="B2001" s="887"/>
      <c r="C2001" s="888"/>
      <c r="D2001" s="889"/>
      <c r="E2001" s="890"/>
      <c r="F2001" s="891"/>
      <c r="I2001" s="893"/>
      <c r="J2001" s="894"/>
      <c r="K2001" s="895"/>
      <c r="L2001" s="895"/>
      <c r="M2001" s="895"/>
      <c r="N2001" s="898"/>
      <c r="O2001" s="682"/>
      <c r="U2001" s="596"/>
    </row>
    <row r="2002" spans="1:21" ht="19.149999999999999" customHeight="1">
      <c r="A2002" s="886"/>
      <c r="B2002" s="887"/>
      <c r="C2002" s="888"/>
      <c r="D2002" s="889"/>
      <c r="E2002" s="890"/>
      <c r="F2002" s="891"/>
      <c r="I2002" s="893"/>
      <c r="J2002" s="894"/>
      <c r="K2002" s="895"/>
      <c r="L2002" s="895"/>
      <c r="M2002" s="895"/>
      <c r="N2002" s="898"/>
      <c r="O2002" s="682"/>
      <c r="U2002" s="596"/>
    </row>
    <row r="2003" spans="1:21" ht="19.149999999999999" customHeight="1">
      <c r="A2003" s="886"/>
      <c r="B2003" s="887"/>
      <c r="C2003" s="888"/>
      <c r="D2003" s="889"/>
      <c r="E2003" s="890"/>
      <c r="F2003" s="891"/>
      <c r="I2003" s="893"/>
      <c r="J2003" s="894"/>
      <c r="K2003" s="895"/>
      <c r="L2003" s="895"/>
      <c r="M2003" s="895"/>
      <c r="N2003" s="898"/>
      <c r="O2003" s="682"/>
      <c r="U2003" s="596"/>
    </row>
    <row r="2004" spans="1:21" ht="19.149999999999999" customHeight="1">
      <c r="A2004" s="886"/>
      <c r="B2004" s="887"/>
      <c r="C2004" s="888"/>
      <c r="D2004" s="889"/>
      <c r="E2004" s="890"/>
      <c r="F2004" s="891"/>
      <c r="I2004" s="893"/>
      <c r="J2004" s="894"/>
      <c r="K2004" s="895"/>
      <c r="L2004" s="895"/>
      <c r="M2004" s="895"/>
      <c r="N2004" s="898"/>
      <c r="O2004" s="682"/>
      <c r="U2004" s="596"/>
    </row>
    <row r="2005" spans="1:21" ht="19.149999999999999" customHeight="1">
      <c r="A2005" s="886"/>
      <c r="B2005" s="887"/>
      <c r="C2005" s="888"/>
      <c r="D2005" s="889"/>
      <c r="E2005" s="890"/>
      <c r="F2005" s="891"/>
      <c r="I2005" s="893"/>
      <c r="J2005" s="894"/>
      <c r="K2005" s="895"/>
      <c r="L2005" s="895"/>
      <c r="M2005" s="895"/>
      <c r="N2005" s="898"/>
      <c r="O2005" s="682"/>
      <c r="U2005" s="596"/>
    </row>
    <row r="2006" spans="1:21" ht="19.149999999999999" customHeight="1">
      <c r="A2006" s="886"/>
      <c r="B2006" s="887"/>
      <c r="C2006" s="888"/>
      <c r="D2006" s="889"/>
      <c r="E2006" s="890"/>
      <c r="F2006" s="891"/>
      <c r="I2006" s="893"/>
      <c r="J2006" s="894"/>
      <c r="K2006" s="895"/>
      <c r="L2006" s="895"/>
      <c r="M2006" s="895"/>
      <c r="N2006" s="898"/>
      <c r="O2006" s="682"/>
      <c r="U2006" s="596"/>
    </row>
    <row r="2007" spans="1:21" ht="19.149999999999999" customHeight="1">
      <c r="A2007" s="886"/>
      <c r="B2007" s="887"/>
      <c r="C2007" s="888"/>
      <c r="D2007" s="889"/>
      <c r="E2007" s="890"/>
      <c r="F2007" s="891"/>
      <c r="I2007" s="893"/>
      <c r="J2007" s="894"/>
      <c r="K2007" s="895"/>
      <c r="L2007" s="895"/>
      <c r="M2007" s="895"/>
      <c r="N2007" s="898"/>
      <c r="O2007" s="682"/>
      <c r="U2007" s="596"/>
    </row>
    <row r="2008" spans="1:21" ht="19.149999999999999" customHeight="1">
      <c r="A2008" s="886"/>
      <c r="B2008" s="887"/>
      <c r="C2008" s="888"/>
      <c r="D2008" s="889"/>
      <c r="E2008" s="890"/>
      <c r="F2008" s="891"/>
      <c r="I2008" s="893"/>
      <c r="J2008" s="894"/>
      <c r="K2008" s="895"/>
      <c r="L2008" s="895"/>
      <c r="M2008" s="895"/>
      <c r="N2008" s="898"/>
      <c r="O2008" s="682"/>
      <c r="U2008" s="596"/>
    </row>
    <row r="2009" spans="1:21" ht="19.149999999999999" customHeight="1">
      <c r="A2009" s="886"/>
      <c r="B2009" s="887"/>
      <c r="C2009" s="888"/>
      <c r="D2009" s="889"/>
      <c r="E2009" s="890"/>
      <c r="F2009" s="891"/>
      <c r="I2009" s="893"/>
      <c r="J2009" s="894"/>
      <c r="K2009" s="895"/>
      <c r="L2009" s="895"/>
      <c r="M2009" s="895"/>
      <c r="N2009" s="898"/>
      <c r="O2009" s="682"/>
      <c r="U2009" s="596"/>
    </row>
    <row r="2010" spans="1:21" ht="19.149999999999999" customHeight="1">
      <c r="A2010" s="886"/>
      <c r="B2010" s="887"/>
      <c r="C2010" s="888"/>
      <c r="D2010" s="889"/>
      <c r="E2010" s="890"/>
      <c r="F2010" s="891"/>
      <c r="I2010" s="893"/>
      <c r="J2010" s="894"/>
      <c r="K2010" s="895"/>
      <c r="L2010" s="895"/>
      <c r="M2010" s="895"/>
      <c r="N2010" s="898"/>
      <c r="O2010" s="682"/>
      <c r="U2010" s="596"/>
    </row>
    <row r="2011" spans="1:21" ht="19.149999999999999" customHeight="1">
      <c r="A2011" s="886"/>
      <c r="B2011" s="887"/>
      <c r="C2011" s="888"/>
      <c r="D2011" s="889"/>
      <c r="E2011" s="890"/>
      <c r="F2011" s="891"/>
      <c r="I2011" s="893"/>
      <c r="J2011" s="894"/>
      <c r="K2011" s="895"/>
      <c r="L2011" s="895"/>
      <c r="M2011" s="895"/>
      <c r="N2011" s="898"/>
      <c r="O2011" s="682"/>
      <c r="U2011" s="596"/>
    </row>
    <row r="2012" spans="1:21" ht="19.149999999999999" customHeight="1">
      <c r="A2012" s="886"/>
      <c r="B2012" s="887"/>
      <c r="C2012" s="888"/>
      <c r="D2012" s="889"/>
      <c r="E2012" s="890"/>
      <c r="F2012" s="891"/>
      <c r="I2012" s="893"/>
      <c r="J2012" s="894"/>
      <c r="K2012" s="895"/>
      <c r="L2012" s="895"/>
      <c r="M2012" s="895"/>
      <c r="N2012" s="898"/>
      <c r="O2012" s="682"/>
      <c r="U2012" s="596"/>
    </row>
    <row r="2013" spans="1:21" ht="19.149999999999999" customHeight="1">
      <c r="A2013" s="886"/>
      <c r="B2013" s="887"/>
      <c r="C2013" s="888"/>
      <c r="D2013" s="889"/>
      <c r="E2013" s="890"/>
      <c r="F2013" s="891"/>
      <c r="I2013" s="893"/>
      <c r="J2013" s="894"/>
      <c r="K2013" s="895"/>
      <c r="L2013" s="895"/>
      <c r="M2013" s="895"/>
      <c r="N2013" s="898"/>
      <c r="O2013" s="682"/>
      <c r="U2013" s="596"/>
    </row>
    <row r="2014" spans="1:21" ht="19.149999999999999" customHeight="1">
      <c r="A2014" s="886"/>
      <c r="B2014" s="887"/>
      <c r="C2014" s="888"/>
      <c r="D2014" s="889"/>
      <c r="E2014" s="890"/>
      <c r="F2014" s="891"/>
      <c r="I2014" s="893"/>
      <c r="J2014" s="894"/>
      <c r="K2014" s="895"/>
      <c r="L2014" s="895"/>
      <c r="M2014" s="895"/>
      <c r="N2014" s="898"/>
      <c r="O2014" s="682"/>
      <c r="U2014" s="596"/>
    </row>
    <row r="2015" spans="1:21" ht="19.149999999999999" customHeight="1">
      <c r="A2015" s="886"/>
      <c r="B2015" s="887"/>
      <c r="C2015" s="888"/>
      <c r="D2015" s="889"/>
      <c r="E2015" s="890"/>
      <c r="F2015" s="891"/>
      <c r="I2015" s="893"/>
      <c r="J2015" s="894"/>
      <c r="K2015" s="895"/>
      <c r="L2015" s="895"/>
      <c r="M2015" s="895"/>
      <c r="N2015" s="898"/>
      <c r="O2015" s="682"/>
      <c r="U2015" s="596"/>
    </row>
    <row r="2016" spans="1:21" ht="19.149999999999999" customHeight="1">
      <c r="A2016" s="886"/>
      <c r="B2016" s="887"/>
      <c r="C2016" s="888"/>
      <c r="D2016" s="889"/>
      <c r="E2016" s="890"/>
      <c r="F2016" s="891"/>
      <c r="I2016" s="893"/>
      <c r="J2016" s="894"/>
      <c r="K2016" s="895"/>
      <c r="L2016" s="895"/>
      <c r="M2016" s="895"/>
      <c r="N2016" s="898"/>
      <c r="O2016" s="682"/>
      <c r="U2016" s="596"/>
    </row>
    <row r="2017" spans="1:21" ht="19.149999999999999" customHeight="1">
      <c r="A2017" s="886"/>
      <c r="B2017" s="887"/>
      <c r="C2017" s="888"/>
      <c r="D2017" s="889"/>
      <c r="E2017" s="890"/>
      <c r="F2017" s="891"/>
      <c r="I2017" s="893"/>
      <c r="J2017" s="894"/>
      <c r="K2017" s="895"/>
      <c r="L2017" s="895"/>
      <c r="M2017" s="895"/>
      <c r="N2017" s="898"/>
      <c r="O2017" s="682"/>
      <c r="U2017" s="596"/>
    </row>
    <row r="2018" spans="1:21" ht="19.149999999999999" customHeight="1">
      <c r="A2018" s="886"/>
      <c r="B2018" s="887"/>
      <c r="C2018" s="888"/>
      <c r="D2018" s="889"/>
      <c r="E2018" s="890"/>
      <c r="F2018" s="891"/>
      <c r="I2018" s="893"/>
      <c r="J2018" s="894"/>
      <c r="K2018" s="895"/>
      <c r="L2018" s="895"/>
      <c r="M2018" s="895"/>
      <c r="N2018" s="898"/>
      <c r="O2018" s="682"/>
      <c r="U2018" s="596"/>
    </row>
    <row r="2019" spans="1:21" ht="19.149999999999999" customHeight="1">
      <c r="A2019" s="886"/>
      <c r="B2019" s="887"/>
      <c r="C2019" s="888"/>
      <c r="D2019" s="889"/>
      <c r="E2019" s="890"/>
      <c r="F2019" s="891"/>
      <c r="I2019" s="893"/>
      <c r="J2019" s="894"/>
      <c r="K2019" s="895"/>
      <c r="L2019" s="895"/>
      <c r="M2019" s="895"/>
      <c r="N2019" s="898"/>
      <c r="O2019" s="682"/>
      <c r="U2019" s="596"/>
    </row>
    <row r="2020" spans="1:21" ht="19.149999999999999" customHeight="1">
      <c r="A2020" s="886"/>
      <c r="B2020" s="887"/>
      <c r="C2020" s="888"/>
      <c r="D2020" s="889"/>
      <c r="E2020" s="890"/>
      <c r="F2020" s="891"/>
      <c r="I2020" s="893"/>
      <c r="J2020" s="894"/>
      <c r="K2020" s="895"/>
      <c r="L2020" s="895"/>
      <c r="M2020" s="895"/>
      <c r="N2020" s="898"/>
      <c r="O2020" s="682"/>
      <c r="U2020" s="596"/>
    </row>
    <row r="2021" spans="1:21" ht="19.149999999999999" customHeight="1">
      <c r="A2021" s="886"/>
      <c r="B2021" s="887"/>
      <c r="C2021" s="888"/>
      <c r="D2021" s="889"/>
      <c r="E2021" s="890"/>
      <c r="F2021" s="891"/>
      <c r="I2021" s="893"/>
      <c r="J2021" s="894"/>
      <c r="K2021" s="895"/>
      <c r="L2021" s="895"/>
      <c r="M2021" s="895"/>
      <c r="N2021" s="898"/>
      <c r="O2021" s="682"/>
      <c r="U2021" s="596"/>
    </row>
    <row r="2022" spans="1:21" ht="19.149999999999999" customHeight="1">
      <c r="A2022" s="886"/>
      <c r="B2022" s="887"/>
      <c r="C2022" s="888"/>
      <c r="D2022" s="889"/>
      <c r="E2022" s="890"/>
      <c r="F2022" s="891"/>
      <c r="I2022" s="893"/>
      <c r="J2022" s="894"/>
      <c r="K2022" s="895"/>
      <c r="L2022" s="895"/>
      <c r="M2022" s="895"/>
      <c r="N2022" s="898"/>
      <c r="O2022" s="682"/>
      <c r="U2022" s="596"/>
    </row>
    <row r="2023" spans="1:21" ht="19.149999999999999" customHeight="1">
      <c r="A2023" s="886"/>
      <c r="B2023" s="887"/>
      <c r="C2023" s="888"/>
      <c r="D2023" s="889"/>
      <c r="E2023" s="890"/>
      <c r="F2023" s="891"/>
      <c r="I2023" s="893"/>
      <c r="J2023" s="894"/>
      <c r="K2023" s="895"/>
      <c r="L2023" s="895"/>
      <c r="M2023" s="895"/>
      <c r="N2023" s="898"/>
      <c r="O2023" s="682"/>
      <c r="U2023" s="596"/>
    </row>
    <row r="2024" spans="1:21" ht="19.149999999999999" customHeight="1">
      <c r="A2024" s="886"/>
      <c r="B2024" s="887"/>
      <c r="C2024" s="888"/>
      <c r="D2024" s="889"/>
      <c r="E2024" s="890"/>
      <c r="F2024" s="891"/>
      <c r="I2024" s="893"/>
      <c r="J2024" s="894"/>
      <c r="K2024" s="895"/>
      <c r="L2024" s="895"/>
      <c r="M2024" s="895"/>
      <c r="N2024" s="898"/>
      <c r="O2024" s="682"/>
      <c r="U2024" s="596"/>
    </row>
    <row r="2025" spans="1:21" ht="19.149999999999999" customHeight="1">
      <c r="A2025" s="886"/>
      <c r="B2025" s="887"/>
      <c r="C2025" s="888"/>
      <c r="D2025" s="889"/>
      <c r="E2025" s="890"/>
      <c r="F2025" s="891"/>
      <c r="I2025" s="893"/>
      <c r="J2025" s="894"/>
      <c r="K2025" s="895"/>
      <c r="L2025" s="895"/>
      <c r="M2025" s="895"/>
      <c r="N2025" s="898"/>
      <c r="O2025" s="682"/>
      <c r="U2025" s="596"/>
    </row>
    <row r="2026" spans="1:21" ht="19.149999999999999" customHeight="1">
      <c r="A2026" s="886"/>
      <c r="B2026" s="887"/>
      <c r="C2026" s="888"/>
      <c r="D2026" s="889"/>
      <c r="E2026" s="890"/>
      <c r="F2026" s="891"/>
      <c r="I2026" s="893"/>
      <c r="J2026" s="894"/>
      <c r="K2026" s="895"/>
      <c r="L2026" s="895"/>
      <c r="M2026" s="895"/>
      <c r="N2026" s="898"/>
      <c r="O2026" s="682"/>
      <c r="U2026" s="596"/>
    </row>
    <row r="2027" spans="1:21" ht="19.149999999999999" customHeight="1">
      <c r="A2027" s="886"/>
      <c r="B2027" s="887"/>
      <c r="C2027" s="888"/>
      <c r="D2027" s="889"/>
      <c r="E2027" s="890"/>
      <c r="F2027" s="891"/>
      <c r="I2027" s="893"/>
      <c r="J2027" s="894"/>
      <c r="K2027" s="895"/>
      <c r="L2027" s="895"/>
      <c r="M2027" s="895"/>
      <c r="N2027" s="898"/>
      <c r="O2027" s="682"/>
      <c r="U2027" s="596"/>
    </row>
    <row r="2028" spans="1:21" ht="19.149999999999999" customHeight="1">
      <c r="A2028" s="886"/>
      <c r="B2028" s="887"/>
      <c r="C2028" s="888"/>
      <c r="D2028" s="889"/>
      <c r="E2028" s="890"/>
      <c r="F2028" s="891"/>
      <c r="I2028" s="893"/>
      <c r="J2028" s="894"/>
      <c r="K2028" s="895"/>
      <c r="L2028" s="895"/>
      <c r="M2028" s="895"/>
      <c r="N2028" s="898"/>
      <c r="O2028" s="682"/>
      <c r="U2028" s="596"/>
    </row>
    <row r="2029" spans="1:21" ht="19.149999999999999" customHeight="1">
      <c r="A2029" s="886"/>
      <c r="B2029" s="887"/>
      <c r="C2029" s="888"/>
      <c r="D2029" s="889"/>
      <c r="E2029" s="890"/>
      <c r="F2029" s="891"/>
      <c r="I2029" s="893"/>
      <c r="J2029" s="894"/>
      <c r="K2029" s="895"/>
      <c r="L2029" s="895"/>
      <c r="M2029" s="895"/>
      <c r="N2029" s="898"/>
      <c r="O2029" s="682"/>
      <c r="U2029" s="596"/>
    </row>
    <row r="2030" spans="1:21" ht="19.149999999999999" customHeight="1">
      <c r="A2030" s="886"/>
      <c r="B2030" s="887"/>
      <c r="C2030" s="888"/>
      <c r="D2030" s="889"/>
      <c r="E2030" s="890"/>
      <c r="F2030" s="891"/>
      <c r="I2030" s="893"/>
      <c r="J2030" s="894"/>
      <c r="K2030" s="895"/>
      <c r="L2030" s="895"/>
      <c r="M2030" s="895"/>
      <c r="N2030" s="898"/>
      <c r="O2030" s="682"/>
      <c r="U2030" s="596"/>
    </row>
    <row r="2031" spans="1:21" ht="19.149999999999999" customHeight="1">
      <c r="A2031" s="886"/>
      <c r="B2031" s="887"/>
      <c r="C2031" s="888"/>
      <c r="D2031" s="889"/>
      <c r="E2031" s="890"/>
      <c r="F2031" s="891"/>
      <c r="I2031" s="893"/>
      <c r="J2031" s="894"/>
      <c r="K2031" s="895"/>
      <c r="L2031" s="895"/>
      <c r="M2031" s="895"/>
      <c r="N2031" s="898"/>
      <c r="O2031" s="682"/>
      <c r="U2031" s="596"/>
    </row>
    <row r="2032" spans="1:21" ht="19.149999999999999" customHeight="1">
      <c r="A2032" s="886"/>
      <c r="B2032" s="887"/>
      <c r="C2032" s="888"/>
      <c r="D2032" s="889"/>
      <c r="E2032" s="890"/>
      <c r="F2032" s="891"/>
      <c r="I2032" s="893"/>
      <c r="J2032" s="894"/>
      <c r="K2032" s="895"/>
      <c r="L2032" s="895"/>
      <c r="M2032" s="895"/>
      <c r="N2032" s="898"/>
      <c r="O2032" s="682"/>
      <c r="U2032" s="596"/>
    </row>
    <row r="2033" spans="1:21" ht="19.149999999999999" customHeight="1">
      <c r="A2033" s="886"/>
      <c r="B2033" s="887"/>
      <c r="C2033" s="888"/>
      <c r="D2033" s="889"/>
      <c r="E2033" s="890"/>
      <c r="F2033" s="891"/>
      <c r="I2033" s="893"/>
      <c r="J2033" s="894"/>
      <c r="K2033" s="895"/>
      <c r="L2033" s="895"/>
      <c r="M2033" s="895"/>
      <c r="N2033" s="898"/>
      <c r="O2033" s="682"/>
      <c r="U2033" s="596"/>
    </row>
    <row r="2034" spans="1:21" ht="19.149999999999999" customHeight="1">
      <c r="A2034" s="886"/>
      <c r="B2034" s="887"/>
      <c r="C2034" s="888"/>
      <c r="D2034" s="889"/>
      <c r="E2034" s="890"/>
      <c r="F2034" s="891"/>
      <c r="I2034" s="893"/>
      <c r="J2034" s="894"/>
      <c r="K2034" s="895"/>
      <c r="L2034" s="895"/>
      <c r="M2034" s="895"/>
      <c r="N2034" s="898"/>
      <c r="O2034" s="682"/>
      <c r="U2034" s="596"/>
    </row>
    <row r="2035" spans="1:21" ht="19.149999999999999" customHeight="1">
      <c r="A2035" s="886"/>
      <c r="B2035" s="887"/>
      <c r="C2035" s="888"/>
      <c r="D2035" s="889"/>
      <c r="E2035" s="890"/>
      <c r="F2035" s="891"/>
      <c r="I2035" s="893"/>
      <c r="J2035" s="894"/>
      <c r="K2035" s="895"/>
      <c r="L2035" s="895"/>
      <c r="M2035" s="895"/>
      <c r="N2035" s="898"/>
      <c r="O2035" s="682"/>
      <c r="U2035" s="596"/>
    </row>
    <row r="2036" spans="1:21" ht="19.149999999999999" customHeight="1">
      <c r="A2036" s="886"/>
      <c r="B2036" s="887"/>
      <c r="C2036" s="888"/>
      <c r="D2036" s="889"/>
      <c r="E2036" s="890"/>
      <c r="F2036" s="891"/>
      <c r="I2036" s="893"/>
      <c r="J2036" s="894"/>
      <c r="K2036" s="895"/>
      <c r="L2036" s="895"/>
      <c r="M2036" s="895"/>
      <c r="N2036" s="898"/>
      <c r="O2036" s="682"/>
      <c r="U2036" s="596"/>
    </row>
    <row r="2037" spans="1:21" ht="19.149999999999999" customHeight="1">
      <c r="A2037" s="886"/>
      <c r="B2037" s="887"/>
      <c r="C2037" s="888"/>
      <c r="D2037" s="889"/>
      <c r="E2037" s="890"/>
      <c r="F2037" s="891"/>
      <c r="I2037" s="893"/>
      <c r="J2037" s="894"/>
      <c r="K2037" s="895"/>
      <c r="L2037" s="895"/>
      <c r="M2037" s="895"/>
      <c r="N2037" s="898"/>
      <c r="O2037" s="682"/>
      <c r="U2037" s="596"/>
    </row>
    <row r="2038" spans="1:21" ht="19.149999999999999" customHeight="1">
      <c r="A2038" s="886"/>
      <c r="B2038" s="887"/>
      <c r="C2038" s="888"/>
      <c r="D2038" s="889"/>
      <c r="E2038" s="890"/>
      <c r="F2038" s="891"/>
      <c r="I2038" s="893"/>
      <c r="J2038" s="894"/>
      <c r="K2038" s="895"/>
      <c r="L2038" s="895"/>
      <c r="M2038" s="895"/>
      <c r="N2038" s="898"/>
      <c r="O2038" s="682"/>
      <c r="U2038" s="596"/>
    </row>
    <row r="2039" spans="1:21" ht="19.149999999999999" customHeight="1">
      <c r="A2039" s="886"/>
      <c r="B2039" s="887"/>
      <c r="C2039" s="888"/>
      <c r="D2039" s="889"/>
      <c r="E2039" s="890"/>
      <c r="F2039" s="891"/>
      <c r="I2039" s="893"/>
      <c r="J2039" s="894"/>
      <c r="K2039" s="895"/>
      <c r="L2039" s="895"/>
      <c r="M2039" s="895"/>
      <c r="N2039" s="898"/>
      <c r="O2039" s="682"/>
      <c r="U2039" s="596"/>
    </row>
    <row r="2040" spans="1:21" ht="19.149999999999999" customHeight="1">
      <c r="A2040" s="886"/>
      <c r="B2040" s="887"/>
      <c r="C2040" s="888"/>
      <c r="D2040" s="889"/>
      <c r="E2040" s="890"/>
      <c r="F2040" s="891"/>
      <c r="I2040" s="893"/>
      <c r="J2040" s="894"/>
      <c r="K2040" s="895"/>
      <c r="L2040" s="895"/>
      <c r="M2040" s="895"/>
      <c r="N2040" s="898"/>
      <c r="O2040" s="682"/>
      <c r="U2040" s="596"/>
    </row>
    <row r="2041" spans="1:21" ht="19.149999999999999" customHeight="1">
      <c r="A2041" s="886"/>
      <c r="B2041" s="887"/>
      <c r="C2041" s="888"/>
      <c r="D2041" s="889"/>
      <c r="E2041" s="890"/>
      <c r="F2041" s="891"/>
      <c r="I2041" s="893"/>
      <c r="J2041" s="894"/>
      <c r="K2041" s="895"/>
      <c r="L2041" s="895"/>
      <c r="M2041" s="895"/>
      <c r="N2041" s="898"/>
      <c r="O2041" s="682"/>
      <c r="U2041" s="596"/>
    </row>
    <row r="2042" spans="1:21" ht="19.149999999999999" customHeight="1">
      <c r="A2042" s="886"/>
      <c r="B2042" s="887"/>
      <c r="C2042" s="888"/>
      <c r="D2042" s="889"/>
      <c r="E2042" s="890"/>
      <c r="F2042" s="891"/>
      <c r="I2042" s="893"/>
      <c r="J2042" s="894"/>
      <c r="K2042" s="895"/>
      <c r="L2042" s="895"/>
      <c r="M2042" s="895"/>
      <c r="N2042" s="898"/>
      <c r="O2042" s="682"/>
      <c r="U2042" s="596"/>
    </row>
    <row r="2043" spans="1:21" ht="19.149999999999999" customHeight="1">
      <c r="A2043" s="886"/>
      <c r="B2043" s="887"/>
      <c r="C2043" s="888"/>
      <c r="D2043" s="889"/>
      <c r="E2043" s="890"/>
      <c r="F2043" s="891"/>
      <c r="I2043" s="893"/>
      <c r="J2043" s="894"/>
      <c r="K2043" s="895"/>
      <c r="L2043" s="895"/>
      <c r="M2043" s="895"/>
      <c r="N2043" s="898"/>
      <c r="O2043" s="682"/>
      <c r="U2043" s="596"/>
    </row>
    <row r="2044" spans="1:21" ht="19.149999999999999" customHeight="1">
      <c r="A2044" s="886"/>
      <c r="B2044" s="887"/>
      <c r="C2044" s="888"/>
      <c r="D2044" s="889"/>
      <c r="E2044" s="890"/>
      <c r="F2044" s="891"/>
      <c r="I2044" s="893"/>
      <c r="J2044" s="894"/>
      <c r="K2044" s="895"/>
      <c r="L2044" s="895"/>
      <c r="M2044" s="895"/>
      <c r="N2044" s="898"/>
      <c r="O2044" s="682"/>
      <c r="U2044" s="596"/>
    </row>
    <row r="2045" spans="1:21" ht="19.149999999999999" customHeight="1">
      <c r="A2045" s="886"/>
      <c r="B2045" s="887"/>
      <c r="C2045" s="888"/>
      <c r="D2045" s="889"/>
      <c r="E2045" s="890"/>
      <c r="F2045" s="891"/>
      <c r="I2045" s="893"/>
      <c r="J2045" s="894"/>
      <c r="K2045" s="895"/>
      <c r="L2045" s="895"/>
      <c r="M2045" s="895"/>
      <c r="N2045" s="898"/>
      <c r="O2045" s="682"/>
      <c r="U2045" s="596"/>
    </row>
    <row r="2046" spans="1:21" ht="19.149999999999999" customHeight="1">
      <c r="A2046" s="886"/>
      <c r="B2046" s="887"/>
      <c r="C2046" s="888"/>
      <c r="D2046" s="889"/>
      <c r="E2046" s="890"/>
      <c r="F2046" s="891"/>
      <c r="I2046" s="893"/>
      <c r="J2046" s="894"/>
      <c r="K2046" s="895"/>
      <c r="L2046" s="895"/>
      <c r="M2046" s="895"/>
      <c r="N2046" s="898"/>
      <c r="O2046" s="682"/>
      <c r="U2046" s="596"/>
    </row>
    <row r="2047" spans="1:21" ht="19.149999999999999" customHeight="1">
      <c r="A2047" s="886"/>
      <c r="B2047" s="887"/>
      <c r="C2047" s="888"/>
      <c r="D2047" s="889"/>
      <c r="E2047" s="890"/>
      <c r="F2047" s="891"/>
      <c r="I2047" s="893"/>
      <c r="J2047" s="894"/>
      <c r="K2047" s="895"/>
      <c r="L2047" s="895"/>
      <c r="M2047" s="895"/>
      <c r="N2047" s="898"/>
      <c r="O2047" s="682"/>
      <c r="U2047" s="596"/>
    </row>
    <row r="2048" spans="1:21" ht="19.149999999999999" customHeight="1">
      <c r="A2048" s="886"/>
      <c r="B2048" s="887"/>
      <c r="C2048" s="888"/>
      <c r="D2048" s="889"/>
      <c r="E2048" s="890"/>
      <c r="F2048" s="891"/>
      <c r="I2048" s="893"/>
      <c r="J2048" s="894"/>
      <c r="K2048" s="895"/>
      <c r="L2048" s="895"/>
      <c r="M2048" s="895"/>
      <c r="N2048" s="898"/>
      <c r="O2048" s="682"/>
      <c r="U2048" s="596"/>
    </row>
    <row r="2049" spans="1:21" ht="19.149999999999999" customHeight="1">
      <c r="A2049" s="886"/>
      <c r="B2049" s="887"/>
      <c r="C2049" s="888"/>
      <c r="D2049" s="889"/>
      <c r="E2049" s="890"/>
      <c r="F2049" s="891"/>
      <c r="I2049" s="893"/>
      <c r="J2049" s="894"/>
      <c r="K2049" s="895"/>
      <c r="L2049" s="895"/>
      <c r="M2049" s="895"/>
      <c r="N2049" s="898"/>
      <c r="O2049" s="682"/>
      <c r="U2049" s="596"/>
    </row>
    <row r="2050" spans="1:21" ht="19.149999999999999" customHeight="1">
      <c r="A2050" s="886"/>
      <c r="B2050" s="887"/>
      <c r="C2050" s="888"/>
      <c r="D2050" s="889"/>
      <c r="E2050" s="890"/>
      <c r="F2050" s="891"/>
      <c r="I2050" s="893"/>
      <c r="J2050" s="894"/>
      <c r="K2050" s="895"/>
      <c r="L2050" s="895"/>
      <c r="M2050" s="895"/>
      <c r="N2050" s="898"/>
      <c r="O2050" s="682"/>
      <c r="U2050" s="596"/>
    </row>
    <row r="2051" spans="1:21" ht="19.149999999999999" customHeight="1">
      <c r="A2051" s="886"/>
      <c r="B2051" s="887"/>
      <c r="C2051" s="888"/>
      <c r="D2051" s="889"/>
      <c r="E2051" s="890"/>
      <c r="F2051" s="891"/>
      <c r="I2051" s="893"/>
      <c r="J2051" s="894"/>
      <c r="K2051" s="895"/>
      <c r="L2051" s="895"/>
      <c r="M2051" s="895"/>
      <c r="N2051" s="898"/>
      <c r="O2051" s="682"/>
      <c r="U2051" s="596"/>
    </row>
    <row r="2052" spans="1:21" ht="19.149999999999999" customHeight="1">
      <c r="A2052" s="886"/>
      <c r="B2052" s="887"/>
      <c r="C2052" s="888"/>
      <c r="D2052" s="889"/>
      <c r="E2052" s="890"/>
      <c r="F2052" s="891"/>
      <c r="I2052" s="893"/>
      <c r="J2052" s="894"/>
      <c r="K2052" s="895"/>
      <c r="L2052" s="895"/>
      <c r="M2052" s="895"/>
      <c r="N2052" s="898"/>
      <c r="O2052" s="682"/>
      <c r="U2052" s="596"/>
    </row>
    <row r="2053" spans="1:21" ht="19.149999999999999" customHeight="1">
      <c r="A2053" s="886"/>
      <c r="B2053" s="887"/>
      <c r="C2053" s="888"/>
      <c r="D2053" s="889"/>
      <c r="E2053" s="890"/>
      <c r="F2053" s="891"/>
      <c r="I2053" s="893"/>
      <c r="J2053" s="894"/>
      <c r="K2053" s="895"/>
      <c r="L2053" s="895"/>
      <c r="M2053" s="895"/>
      <c r="N2053" s="898"/>
      <c r="O2053" s="682"/>
      <c r="U2053" s="596"/>
    </row>
    <row r="2054" spans="1:21" ht="19.149999999999999" customHeight="1">
      <c r="A2054" s="886"/>
      <c r="B2054" s="887"/>
      <c r="C2054" s="888"/>
      <c r="D2054" s="889"/>
      <c r="E2054" s="890"/>
      <c r="F2054" s="891"/>
      <c r="I2054" s="893"/>
      <c r="J2054" s="894"/>
      <c r="K2054" s="895"/>
      <c r="L2054" s="895"/>
      <c r="M2054" s="895"/>
      <c r="N2054" s="898"/>
      <c r="O2054" s="682"/>
      <c r="U2054" s="596"/>
    </row>
    <row r="2055" spans="1:21" ht="19.149999999999999" customHeight="1">
      <c r="A2055" s="886"/>
      <c r="B2055" s="887"/>
      <c r="C2055" s="888"/>
      <c r="D2055" s="889"/>
      <c r="E2055" s="890"/>
      <c r="F2055" s="891"/>
      <c r="I2055" s="893"/>
      <c r="J2055" s="894"/>
      <c r="K2055" s="895"/>
      <c r="L2055" s="895"/>
      <c r="M2055" s="895"/>
      <c r="N2055" s="898"/>
      <c r="O2055" s="682"/>
      <c r="U2055" s="596"/>
    </row>
    <row r="2056" spans="1:21" ht="19.149999999999999" customHeight="1">
      <c r="A2056" s="886"/>
      <c r="B2056" s="887"/>
      <c r="C2056" s="888"/>
      <c r="D2056" s="889"/>
      <c r="E2056" s="890"/>
      <c r="F2056" s="891"/>
      <c r="I2056" s="893"/>
      <c r="J2056" s="894"/>
      <c r="K2056" s="895"/>
      <c r="L2056" s="895"/>
      <c r="M2056" s="895"/>
      <c r="N2056" s="898"/>
      <c r="O2056" s="682"/>
      <c r="U2056" s="596"/>
    </row>
    <row r="2057" spans="1:21" ht="19.149999999999999" customHeight="1">
      <c r="A2057" s="886"/>
      <c r="B2057" s="887"/>
      <c r="C2057" s="888"/>
      <c r="D2057" s="889"/>
      <c r="E2057" s="890"/>
      <c r="F2057" s="891"/>
      <c r="I2057" s="893"/>
      <c r="J2057" s="894"/>
      <c r="K2057" s="895"/>
      <c r="L2057" s="895"/>
      <c r="M2057" s="895"/>
      <c r="N2057" s="898"/>
      <c r="O2057" s="682"/>
      <c r="U2057" s="596"/>
    </row>
    <row r="2058" spans="1:21" ht="19.149999999999999" customHeight="1">
      <c r="A2058" s="886"/>
      <c r="B2058" s="887"/>
      <c r="C2058" s="888"/>
      <c r="D2058" s="889"/>
      <c r="E2058" s="890"/>
      <c r="F2058" s="891"/>
      <c r="I2058" s="893"/>
      <c r="J2058" s="894"/>
      <c r="K2058" s="895"/>
      <c r="L2058" s="895"/>
      <c r="M2058" s="895"/>
      <c r="N2058" s="898"/>
      <c r="O2058" s="682"/>
      <c r="U2058" s="596"/>
    </row>
    <row r="2059" spans="1:21" ht="19.149999999999999" customHeight="1">
      <c r="A2059" s="886"/>
      <c r="B2059" s="887"/>
      <c r="C2059" s="888"/>
      <c r="D2059" s="889"/>
      <c r="E2059" s="890"/>
      <c r="F2059" s="891"/>
      <c r="I2059" s="893"/>
      <c r="J2059" s="894"/>
      <c r="K2059" s="895"/>
      <c r="L2059" s="895"/>
      <c r="M2059" s="895"/>
      <c r="N2059" s="898"/>
      <c r="O2059" s="682"/>
      <c r="U2059" s="596"/>
    </row>
    <row r="2060" spans="1:21" ht="19.149999999999999" customHeight="1">
      <c r="A2060" s="886"/>
      <c r="B2060" s="887"/>
      <c r="C2060" s="888"/>
      <c r="D2060" s="889"/>
      <c r="E2060" s="890"/>
      <c r="F2060" s="891"/>
      <c r="I2060" s="893"/>
      <c r="J2060" s="894"/>
      <c r="K2060" s="895"/>
      <c r="L2060" s="895"/>
      <c r="M2060" s="895"/>
      <c r="N2060" s="898"/>
      <c r="O2060" s="682"/>
      <c r="U2060" s="596"/>
    </row>
    <row r="2061" spans="1:21" ht="19.149999999999999" customHeight="1">
      <c r="A2061" s="886"/>
      <c r="B2061" s="887"/>
      <c r="C2061" s="888"/>
      <c r="D2061" s="889"/>
      <c r="E2061" s="890"/>
      <c r="F2061" s="891"/>
      <c r="I2061" s="893"/>
      <c r="J2061" s="894"/>
      <c r="K2061" s="895"/>
      <c r="L2061" s="895"/>
      <c r="M2061" s="895"/>
      <c r="N2061" s="898"/>
      <c r="O2061" s="682"/>
      <c r="U2061" s="596"/>
    </row>
    <row r="2062" spans="1:21" ht="19.149999999999999" customHeight="1">
      <c r="A2062" s="886"/>
      <c r="B2062" s="887"/>
      <c r="C2062" s="888"/>
      <c r="D2062" s="889"/>
      <c r="E2062" s="890"/>
      <c r="F2062" s="891"/>
      <c r="I2062" s="893"/>
      <c r="J2062" s="894"/>
      <c r="K2062" s="895"/>
      <c r="L2062" s="895"/>
      <c r="M2062" s="895"/>
      <c r="N2062" s="898"/>
      <c r="O2062" s="682"/>
      <c r="U2062" s="596"/>
    </row>
    <row r="2063" spans="1:21" ht="19.149999999999999" customHeight="1">
      <c r="A2063" s="886"/>
      <c r="B2063" s="887"/>
      <c r="C2063" s="888"/>
      <c r="D2063" s="889"/>
      <c r="E2063" s="890"/>
      <c r="F2063" s="891"/>
      <c r="I2063" s="893"/>
      <c r="J2063" s="894"/>
      <c r="K2063" s="895"/>
      <c r="L2063" s="895"/>
      <c r="M2063" s="895"/>
      <c r="N2063" s="898"/>
      <c r="O2063" s="682"/>
      <c r="U2063" s="596"/>
    </row>
    <row r="2064" spans="1:21" ht="19.149999999999999" customHeight="1">
      <c r="A2064" s="886"/>
      <c r="B2064" s="887"/>
      <c r="C2064" s="888"/>
      <c r="D2064" s="889"/>
      <c r="E2064" s="890"/>
      <c r="F2064" s="891"/>
      <c r="I2064" s="893"/>
      <c r="J2064" s="894"/>
      <c r="K2064" s="895"/>
      <c r="L2064" s="895"/>
      <c r="M2064" s="895"/>
      <c r="N2064" s="898"/>
      <c r="O2064" s="682"/>
      <c r="U2064" s="596"/>
    </row>
    <row r="2065" spans="1:21" ht="19.149999999999999" customHeight="1">
      <c r="A2065" s="886"/>
      <c r="B2065" s="887"/>
      <c r="C2065" s="888"/>
      <c r="D2065" s="889"/>
      <c r="E2065" s="890"/>
      <c r="F2065" s="891"/>
      <c r="I2065" s="893"/>
      <c r="J2065" s="894"/>
      <c r="K2065" s="895"/>
      <c r="L2065" s="895"/>
      <c r="M2065" s="895"/>
      <c r="N2065" s="898"/>
      <c r="O2065" s="682"/>
      <c r="U2065" s="596"/>
    </row>
    <row r="2066" spans="1:21" ht="19.149999999999999" customHeight="1">
      <c r="A2066" s="886"/>
      <c r="B2066" s="887"/>
      <c r="C2066" s="888"/>
      <c r="D2066" s="889"/>
      <c r="E2066" s="890"/>
      <c r="F2066" s="891"/>
      <c r="I2066" s="893"/>
      <c r="J2066" s="894"/>
      <c r="K2066" s="895"/>
      <c r="L2066" s="895"/>
      <c r="M2066" s="895"/>
      <c r="N2066" s="898"/>
      <c r="O2066" s="682"/>
      <c r="U2066" s="596"/>
    </row>
    <row r="2067" spans="1:21" ht="19.149999999999999" customHeight="1">
      <c r="A2067" s="886"/>
      <c r="B2067" s="887"/>
      <c r="C2067" s="888"/>
      <c r="D2067" s="889"/>
      <c r="E2067" s="890"/>
      <c r="F2067" s="891"/>
      <c r="I2067" s="893"/>
      <c r="J2067" s="894"/>
      <c r="K2067" s="895"/>
      <c r="L2067" s="895"/>
      <c r="M2067" s="895"/>
      <c r="N2067" s="898"/>
      <c r="O2067" s="682"/>
      <c r="U2067" s="596"/>
    </row>
    <row r="2068" spans="1:21" ht="19.149999999999999" customHeight="1">
      <c r="A2068" s="886"/>
      <c r="B2068" s="887"/>
      <c r="C2068" s="888"/>
      <c r="D2068" s="889"/>
      <c r="E2068" s="890"/>
      <c r="F2068" s="891"/>
      <c r="I2068" s="893"/>
      <c r="J2068" s="894"/>
      <c r="K2068" s="895"/>
      <c r="L2068" s="895"/>
      <c r="M2068" s="895"/>
      <c r="N2068" s="898"/>
      <c r="O2068" s="682"/>
      <c r="U2068" s="596"/>
    </row>
    <row r="2069" spans="1:21" ht="19.149999999999999" customHeight="1">
      <c r="A2069" s="886"/>
      <c r="B2069" s="887"/>
      <c r="C2069" s="888"/>
      <c r="D2069" s="889"/>
      <c r="E2069" s="890"/>
      <c r="F2069" s="891"/>
      <c r="I2069" s="893"/>
      <c r="J2069" s="894"/>
      <c r="K2069" s="895"/>
      <c r="L2069" s="895"/>
      <c r="M2069" s="895"/>
      <c r="N2069" s="898"/>
      <c r="O2069" s="682"/>
      <c r="U2069" s="596"/>
    </row>
    <row r="2070" spans="1:21" ht="19.149999999999999" customHeight="1">
      <c r="A2070" s="886"/>
      <c r="B2070" s="887"/>
      <c r="C2070" s="888"/>
      <c r="D2070" s="889"/>
      <c r="E2070" s="890"/>
      <c r="F2070" s="891"/>
      <c r="I2070" s="893"/>
      <c r="J2070" s="894"/>
      <c r="K2070" s="895"/>
      <c r="L2070" s="895"/>
      <c r="M2070" s="895"/>
      <c r="N2070" s="898"/>
      <c r="O2070" s="682"/>
      <c r="U2070" s="596"/>
    </row>
    <row r="2071" spans="1:21" ht="19.149999999999999" customHeight="1">
      <c r="A2071" s="886"/>
      <c r="B2071" s="887"/>
      <c r="C2071" s="888"/>
      <c r="D2071" s="889"/>
      <c r="E2071" s="890"/>
      <c r="F2071" s="891"/>
      <c r="I2071" s="893"/>
      <c r="J2071" s="894"/>
      <c r="K2071" s="895"/>
      <c r="L2071" s="895"/>
      <c r="M2071" s="895"/>
      <c r="N2071" s="898"/>
      <c r="O2071" s="682"/>
      <c r="U2071" s="596"/>
    </row>
    <row r="2072" spans="1:21" ht="19.149999999999999" customHeight="1">
      <c r="A2072" s="886"/>
      <c r="B2072" s="887"/>
      <c r="C2072" s="888"/>
      <c r="D2072" s="889"/>
      <c r="E2072" s="890"/>
      <c r="F2072" s="891"/>
      <c r="I2072" s="893"/>
      <c r="J2072" s="894"/>
      <c r="K2072" s="895"/>
      <c r="L2072" s="895"/>
      <c r="M2072" s="895"/>
      <c r="N2072" s="898"/>
      <c r="O2072" s="682"/>
      <c r="U2072" s="596"/>
    </row>
    <row r="2073" spans="1:21" ht="19.149999999999999" customHeight="1">
      <c r="A2073" s="886"/>
      <c r="B2073" s="887"/>
      <c r="C2073" s="888"/>
      <c r="D2073" s="889"/>
      <c r="E2073" s="890"/>
      <c r="F2073" s="891"/>
      <c r="I2073" s="893"/>
      <c r="J2073" s="894"/>
      <c r="K2073" s="895"/>
      <c r="L2073" s="895"/>
      <c r="M2073" s="895"/>
      <c r="N2073" s="898"/>
      <c r="O2073" s="682"/>
      <c r="U2073" s="596"/>
    </row>
    <row r="2074" spans="1:21" ht="19.149999999999999" customHeight="1">
      <c r="A2074" s="886"/>
      <c r="B2074" s="887"/>
      <c r="C2074" s="888"/>
      <c r="D2074" s="889"/>
      <c r="E2074" s="890"/>
      <c r="F2074" s="891"/>
      <c r="I2074" s="893"/>
      <c r="J2074" s="894"/>
      <c r="K2074" s="895"/>
      <c r="L2074" s="895"/>
      <c r="M2074" s="895"/>
      <c r="N2074" s="898"/>
      <c r="O2074" s="682"/>
      <c r="U2074" s="596"/>
    </row>
    <row r="2075" spans="1:21" ht="19.149999999999999" customHeight="1">
      <c r="A2075" s="886"/>
      <c r="B2075" s="887"/>
      <c r="C2075" s="888"/>
      <c r="D2075" s="889"/>
      <c r="E2075" s="890"/>
      <c r="F2075" s="891"/>
      <c r="I2075" s="893"/>
      <c r="J2075" s="894"/>
      <c r="K2075" s="895"/>
      <c r="L2075" s="895"/>
      <c r="M2075" s="895"/>
      <c r="N2075" s="898"/>
      <c r="O2075" s="682"/>
      <c r="U2075" s="596"/>
    </row>
    <row r="2076" spans="1:21" ht="19.149999999999999" customHeight="1">
      <c r="A2076" s="886"/>
      <c r="B2076" s="887"/>
      <c r="C2076" s="888"/>
      <c r="D2076" s="889"/>
      <c r="E2076" s="890"/>
      <c r="F2076" s="891"/>
      <c r="I2076" s="893"/>
      <c r="J2076" s="894"/>
      <c r="K2076" s="895"/>
      <c r="L2076" s="895"/>
      <c r="M2076" s="895"/>
      <c r="N2076" s="898"/>
      <c r="O2076" s="682"/>
      <c r="U2076" s="596"/>
    </row>
    <row r="2077" spans="1:21" ht="19.149999999999999" customHeight="1">
      <c r="A2077" s="886"/>
      <c r="B2077" s="887"/>
      <c r="C2077" s="888"/>
      <c r="D2077" s="889"/>
      <c r="E2077" s="890"/>
      <c r="F2077" s="891"/>
      <c r="I2077" s="893"/>
      <c r="J2077" s="894"/>
      <c r="K2077" s="895"/>
      <c r="L2077" s="895"/>
      <c r="M2077" s="895"/>
      <c r="N2077" s="898"/>
      <c r="O2077" s="682"/>
      <c r="U2077" s="596"/>
    </row>
    <row r="2078" spans="1:21" ht="19.149999999999999" customHeight="1">
      <c r="A2078" s="886"/>
      <c r="B2078" s="887"/>
      <c r="C2078" s="888"/>
      <c r="D2078" s="889"/>
      <c r="E2078" s="890"/>
      <c r="F2078" s="891"/>
      <c r="I2078" s="893"/>
      <c r="J2078" s="894"/>
      <c r="K2078" s="895"/>
      <c r="L2078" s="895"/>
      <c r="M2078" s="895"/>
      <c r="N2078" s="898"/>
      <c r="O2078" s="682"/>
      <c r="U2078" s="596"/>
    </row>
    <row r="2079" spans="1:21" ht="19.149999999999999" customHeight="1">
      <c r="A2079" s="886"/>
      <c r="B2079" s="887"/>
      <c r="C2079" s="888"/>
      <c r="D2079" s="889"/>
      <c r="E2079" s="890"/>
      <c r="F2079" s="891"/>
      <c r="I2079" s="893"/>
      <c r="J2079" s="894"/>
      <c r="K2079" s="895"/>
      <c r="L2079" s="895"/>
      <c r="M2079" s="895"/>
      <c r="N2079" s="898"/>
      <c r="O2079" s="682"/>
      <c r="U2079" s="596"/>
    </row>
    <row r="2080" spans="1:21" ht="19.149999999999999" customHeight="1">
      <c r="A2080" s="886"/>
      <c r="B2080" s="887"/>
      <c r="C2080" s="888"/>
      <c r="D2080" s="889"/>
      <c r="E2080" s="890"/>
      <c r="F2080" s="891"/>
      <c r="I2080" s="893"/>
      <c r="J2080" s="894"/>
      <c r="K2080" s="895"/>
      <c r="L2080" s="895"/>
      <c r="M2080" s="895"/>
      <c r="N2080" s="898"/>
      <c r="O2080" s="682"/>
      <c r="U2080" s="596"/>
    </row>
    <row r="2081" spans="1:21" ht="19.149999999999999" customHeight="1">
      <c r="A2081" s="886"/>
      <c r="B2081" s="887"/>
      <c r="C2081" s="888"/>
      <c r="D2081" s="889"/>
      <c r="E2081" s="890"/>
      <c r="F2081" s="891"/>
      <c r="I2081" s="893"/>
      <c r="J2081" s="894"/>
      <c r="K2081" s="895"/>
      <c r="L2081" s="895"/>
      <c r="M2081" s="895"/>
      <c r="N2081" s="898"/>
      <c r="O2081" s="682"/>
      <c r="U2081" s="596"/>
    </row>
    <row r="2082" spans="1:21" ht="19.149999999999999" customHeight="1">
      <c r="A2082" s="886"/>
      <c r="B2082" s="887"/>
      <c r="C2082" s="888"/>
      <c r="D2082" s="889"/>
      <c r="E2082" s="890"/>
      <c r="F2082" s="891"/>
      <c r="I2082" s="893"/>
      <c r="J2082" s="894"/>
      <c r="K2082" s="895"/>
      <c r="L2082" s="895"/>
      <c r="M2082" s="895"/>
      <c r="N2082" s="898"/>
      <c r="O2082" s="682"/>
      <c r="U2082" s="596"/>
    </row>
    <row r="2083" spans="1:21" ht="19.149999999999999" customHeight="1">
      <c r="A2083" s="886"/>
      <c r="B2083" s="887"/>
      <c r="C2083" s="888"/>
      <c r="D2083" s="889"/>
      <c r="E2083" s="890"/>
      <c r="F2083" s="891"/>
      <c r="I2083" s="893"/>
      <c r="J2083" s="894"/>
      <c r="K2083" s="895"/>
      <c r="L2083" s="895"/>
      <c r="M2083" s="895"/>
      <c r="N2083" s="898"/>
      <c r="O2083" s="682"/>
      <c r="U2083" s="596"/>
    </row>
    <row r="2084" spans="1:21" ht="19.149999999999999" customHeight="1">
      <c r="A2084" s="886"/>
      <c r="B2084" s="887"/>
      <c r="C2084" s="888"/>
      <c r="D2084" s="889"/>
      <c r="E2084" s="890"/>
      <c r="F2084" s="891"/>
      <c r="I2084" s="893"/>
      <c r="J2084" s="894"/>
      <c r="K2084" s="895"/>
      <c r="L2084" s="895"/>
      <c r="M2084" s="895"/>
      <c r="N2084" s="898"/>
      <c r="O2084" s="682"/>
      <c r="U2084" s="596"/>
    </row>
    <row r="2085" spans="1:21" ht="19.149999999999999" customHeight="1">
      <c r="A2085" s="886"/>
      <c r="B2085" s="887"/>
      <c r="C2085" s="888"/>
      <c r="D2085" s="889"/>
      <c r="E2085" s="890"/>
      <c r="F2085" s="891"/>
      <c r="I2085" s="893"/>
      <c r="J2085" s="894"/>
      <c r="K2085" s="895"/>
      <c r="L2085" s="895"/>
      <c r="M2085" s="895"/>
      <c r="N2085" s="898"/>
      <c r="O2085" s="682"/>
      <c r="U2085" s="596"/>
    </row>
    <row r="2086" spans="1:21" ht="19.149999999999999" customHeight="1">
      <c r="A2086" s="886"/>
      <c r="B2086" s="887"/>
      <c r="C2086" s="888"/>
      <c r="D2086" s="889"/>
      <c r="E2086" s="890"/>
      <c r="F2086" s="891"/>
      <c r="I2086" s="893"/>
      <c r="J2086" s="894"/>
      <c r="K2086" s="895"/>
      <c r="L2086" s="895"/>
      <c r="M2086" s="895"/>
      <c r="N2086" s="898"/>
      <c r="O2086" s="682"/>
      <c r="U2086" s="596"/>
    </row>
    <row r="2087" spans="1:21" ht="19.149999999999999" customHeight="1">
      <c r="A2087" s="886"/>
      <c r="B2087" s="887"/>
      <c r="C2087" s="888"/>
      <c r="D2087" s="889"/>
      <c r="E2087" s="890"/>
      <c r="F2087" s="891"/>
      <c r="I2087" s="893"/>
      <c r="J2087" s="894"/>
      <c r="K2087" s="895"/>
      <c r="L2087" s="895"/>
      <c r="M2087" s="895"/>
      <c r="N2087" s="898"/>
      <c r="O2087" s="682"/>
      <c r="U2087" s="596"/>
    </row>
    <row r="2088" spans="1:21" ht="19.149999999999999" customHeight="1">
      <c r="A2088" s="886"/>
      <c r="B2088" s="887"/>
      <c r="C2088" s="888"/>
      <c r="D2088" s="889"/>
      <c r="E2088" s="890"/>
      <c r="F2088" s="891"/>
      <c r="I2088" s="893"/>
      <c r="J2088" s="894"/>
      <c r="K2088" s="895"/>
      <c r="L2088" s="895"/>
      <c r="M2088" s="895"/>
      <c r="N2088" s="898"/>
      <c r="O2088" s="682"/>
      <c r="U2088" s="596"/>
    </row>
    <row r="2089" spans="1:21" ht="19.149999999999999" customHeight="1">
      <c r="A2089" s="886"/>
      <c r="B2089" s="887"/>
      <c r="C2089" s="888"/>
      <c r="D2089" s="889"/>
      <c r="E2089" s="890"/>
      <c r="F2089" s="891"/>
      <c r="I2089" s="893"/>
      <c r="J2089" s="894"/>
      <c r="K2089" s="895"/>
      <c r="L2089" s="895"/>
      <c r="M2089" s="895"/>
      <c r="N2089" s="898"/>
      <c r="O2089" s="682"/>
      <c r="U2089" s="596"/>
    </row>
    <row r="2090" spans="1:21" ht="19.149999999999999" customHeight="1">
      <c r="A2090" s="886"/>
      <c r="B2090" s="887"/>
      <c r="C2090" s="888"/>
      <c r="D2090" s="889"/>
      <c r="E2090" s="890"/>
      <c r="F2090" s="891"/>
      <c r="I2090" s="893"/>
      <c r="J2090" s="894"/>
      <c r="K2090" s="895"/>
      <c r="L2090" s="895"/>
      <c r="M2090" s="895"/>
      <c r="N2090" s="898"/>
      <c r="O2090" s="682"/>
      <c r="U2090" s="596"/>
    </row>
    <row r="2091" spans="1:21" ht="19.149999999999999" customHeight="1">
      <c r="A2091" s="886"/>
      <c r="B2091" s="887"/>
      <c r="C2091" s="888"/>
      <c r="D2091" s="889"/>
      <c r="E2091" s="890"/>
      <c r="F2091" s="891"/>
      <c r="I2091" s="893"/>
      <c r="J2091" s="894"/>
      <c r="K2091" s="895"/>
      <c r="L2091" s="895"/>
      <c r="M2091" s="895"/>
      <c r="N2091" s="898"/>
      <c r="O2091" s="682"/>
      <c r="U2091" s="596"/>
    </row>
    <row r="2092" spans="1:21" ht="19.149999999999999" customHeight="1">
      <c r="A2092" s="886"/>
      <c r="B2092" s="887"/>
      <c r="C2092" s="888"/>
      <c r="D2092" s="889"/>
      <c r="E2092" s="890"/>
      <c r="F2092" s="891"/>
      <c r="I2092" s="893"/>
      <c r="J2092" s="894"/>
      <c r="K2092" s="895"/>
      <c r="L2092" s="895"/>
      <c r="M2092" s="895"/>
      <c r="N2092" s="898"/>
      <c r="O2092" s="682"/>
      <c r="U2092" s="596"/>
    </row>
    <row r="2093" spans="1:21" ht="19.149999999999999" customHeight="1">
      <c r="A2093" s="886"/>
      <c r="B2093" s="887"/>
      <c r="C2093" s="888"/>
      <c r="D2093" s="889"/>
      <c r="E2093" s="890"/>
      <c r="F2093" s="891"/>
      <c r="I2093" s="893"/>
      <c r="J2093" s="894"/>
      <c r="K2093" s="895"/>
      <c r="L2093" s="895"/>
      <c r="M2093" s="895"/>
      <c r="N2093" s="898"/>
      <c r="O2093" s="682"/>
      <c r="U2093" s="596"/>
    </row>
    <row r="2094" spans="1:21" ht="19.149999999999999" customHeight="1">
      <c r="A2094" s="886"/>
      <c r="B2094" s="887"/>
      <c r="C2094" s="888"/>
      <c r="D2094" s="889"/>
      <c r="E2094" s="890"/>
      <c r="F2094" s="891"/>
      <c r="I2094" s="893"/>
      <c r="J2094" s="894"/>
      <c r="K2094" s="895"/>
      <c r="L2094" s="895"/>
      <c r="M2094" s="895"/>
      <c r="N2094" s="898"/>
      <c r="O2094" s="682"/>
      <c r="U2094" s="596"/>
    </row>
    <row r="2095" spans="1:21" ht="19.149999999999999" customHeight="1">
      <c r="A2095" s="886"/>
      <c r="B2095" s="887"/>
      <c r="C2095" s="888"/>
      <c r="D2095" s="889"/>
      <c r="E2095" s="890"/>
      <c r="F2095" s="891"/>
      <c r="I2095" s="893"/>
      <c r="J2095" s="894"/>
      <c r="K2095" s="895"/>
      <c r="L2095" s="895"/>
      <c r="M2095" s="895"/>
      <c r="N2095" s="898"/>
      <c r="O2095" s="682"/>
      <c r="U2095" s="596"/>
    </row>
    <row r="2096" spans="1:21" ht="19.149999999999999" customHeight="1">
      <c r="A2096" s="886"/>
      <c r="B2096" s="887"/>
      <c r="C2096" s="888"/>
      <c r="D2096" s="889"/>
      <c r="E2096" s="890"/>
      <c r="F2096" s="891"/>
      <c r="I2096" s="893"/>
      <c r="J2096" s="894"/>
      <c r="K2096" s="895"/>
      <c r="L2096" s="895"/>
      <c r="M2096" s="895"/>
      <c r="N2096" s="898"/>
      <c r="O2096" s="682"/>
      <c r="U2096" s="596"/>
    </row>
    <row r="2097" spans="1:21" ht="19.149999999999999" customHeight="1">
      <c r="A2097" s="886"/>
      <c r="B2097" s="887"/>
      <c r="C2097" s="888"/>
      <c r="D2097" s="889"/>
      <c r="E2097" s="890"/>
      <c r="F2097" s="891"/>
      <c r="I2097" s="893"/>
      <c r="J2097" s="894"/>
      <c r="K2097" s="895"/>
      <c r="L2097" s="895"/>
      <c r="M2097" s="895"/>
      <c r="N2097" s="898"/>
      <c r="O2097" s="682"/>
      <c r="U2097" s="596"/>
    </row>
    <row r="2098" spans="1:21" ht="19.149999999999999" customHeight="1">
      <c r="A2098" s="886"/>
      <c r="B2098" s="887"/>
      <c r="C2098" s="888"/>
      <c r="D2098" s="889"/>
      <c r="E2098" s="890"/>
      <c r="F2098" s="891"/>
      <c r="I2098" s="893"/>
      <c r="J2098" s="894"/>
      <c r="K2098" s="895"/>
      <c r="L2098" s="895"/>
      <c r="M2098" s="895"/>
      <c r="N2098" s="898"/>
      <c r="O2098" s="682"/>
      <c r="U2098" s="596"/>
    </row>
    <row r="2099" spans="1:21" ht="19.149999999999999" customHeight="1">
      <c r="A2099" s="886"/>
      <c r="B2099" s="887"/>
      <c r="C2099" s="888"/>
      <c r="D2099" s="889"/>
      <c r="E2099" s="890"/>
      <c r="F2099" s="891"/>
      <c r="I2099" s="893"/>
      <c r="J2099" s="894"/>
      <c r="K2099" s="895"/>
      <c r="L2099" s="895"/>
      <c r="M2099" s="895"/>
      <c r="N2099" s="898"/>
      <c r="O2099" s="682"/>
      <c r="U2099" s="596"/>
    </row>
    <row r="2100" spans="1:21" ht="19.149999999999999" customHeight="1">
      <c r="A2100" s="886"/>
      <c r="B2100" s="887"/>
      <c r="C2100" s="888"/>
      <c r="D2100" s="889"/>
      <c r="E2100" s="890"/>
      <c r="F2100" s="891"/>
      <c r="I2100" s="893"/>
      <c r="J2100" s="894"/>
      <c r="K2100" s="895"/>
      <c r="L2100" s="895"/>
      <c r="M2100" s="895"/>
      <c r="N2100" s="898"/>
      <c r="O2100" s="682"/>
      <c r="U2100" s="596"/>
    </row>
    <row r="2101" spans="1:21" ht="19.149999999999999" customHeight="1">
      <c r="A2101" s="886"/>
      <c r="B2101" s="887"/>
      <c r="C2101" s="888"/>
      <c r="D2101" s="889"/>
      <c r="E2101" s="890"/>
      <c r="F2101" s="891"/>
      <c r="I2101" s="893"/>
      <c r="J2101" s="894"/>
      <c r="K2101" s="895"/>
      <c r="L2101" s="895"/>
      <c r="M2101" s="895"/>
      <c r="N2101" s="898"/>
      <c r="O2101" s="682"/>
      <c r="U2101" s="596"/>
    </row>
    <row r="2102" spans="1:21" ht="19.149999999999999" customHeight="1">
      <c r="A2102" s="886"/>
      <c r="B2102" s="887"/>
      <c r="C2102" s="888"/>
      <c r="D2102" s="889"/>
      <c r="E2102" s="890"/>
      <c r="F2102" s="891"/>
      <c r="I2102" s="893"/>
      <c r="J2102" s="894"/>
      <c r="K2102" s="895"/>
      <c r="L2102" s="895"/>
      <c r="M2102" s="895"/>
      <c r="N2102" s="898"/>
      <c r="O2102" s="682"/>
      <c r="U2102" s="596"/>
    </row>
    <row r="2103" spans="1:21" ht="19.149999999999999" customHeight="1">
      <c r="A2103" s="886"/>
      <c r="B2103" s="887"/>
      <c r="C2103" s="888"/>
      <c r="D2103" s="889"/>
      <c r="E2103" s="890"/>
      <c r="F2103" s="891"/>
      <c r="I2103" s="893"/>
      <c r="J2103" s="894"/>
      <c r="K2103" s="895"/>
      <c r="L2103" s="895"/>
      <c r="M2103" s="895"/>
      <c r="N2103" s="898"/>
      <c r="O2103" s="682"/>
      <c r="U2103" s="596"/>
    </row>
    <row r="2104" spans="1:21" ht="19.149999999999999" customHeight="1">
      <c r="A2104" s="886"/>
      <c r="B2104" s="887"/>
      <c r="C2104" s="888"/>
      <c r="D2104" s="889"/>
      <c r="E2104" s="890"/>
      <c r="F2104" s="891"/>
      <c r="I2104" s="893"/>
      <c r="J2104" s="894"/>
      <c r="K2104" s="895"/>
      <c r="L2104" s="895"/>
      <c r="M2104" s="895"/>
      <c r="N2104" s="898"/>
      <c r="O2104" s="682"/>
      <c r="U2104" s="596"/>
    </row>
    <row r="2105" spans="1:21" ht="19.149999999999999" customHeight="1">
      <c r="A2105" s="886"/>
      <c r="B2105" s="887"/>
      <c r="C2105" s="888"/>
      <c r="D2105" s="889"/>
      <c r="E2105" s="890"/>
      <c r="F2105" s="891"/>
      <c r="I2105" s="893"/>
      <c r="J2105" s="894"/>
      <c r="K2105" s="895"/>
      <c r="L2105" s="895"/>
      <c r="M2105" s="895"/>
      <c r="N2105" s="898"/>
      <c r="O2105" s="682"/>
      <c r="U2105" s="596"/>
    </row>
    <row r="2106" spans="1:21" ht="19.149999999999999" customHeight="1">
      <c r="A2106" s="886"/>
      <c r="B2106" s="887"/>
      <c r="C2106" s="888"/>
      <c r="D2106" s="889"/>
      <c r="E2106" s="890"/>
      <c r="F2106" s="891"/>
      <c r="I2106" s="893"/>
      <c r="J2106" s="894"/>
      <c r="K2106" s="895"/>
      <c r="L2106" s="895"/>
      <c r="M2106" s="895"/>
      <c r="N2106" s="898"/>
      <c r="O2106" s="682"/>
      <c r="U2106" s="596"/>
    </row>
    <row r="2107" spans="1:21" ht="19.149999999999999" customHeight="1">
      <c r="A2107" s="886"/>
      <c r="B2107" s="887"/>
      <c r="C2107" s="888"/>
      <c r="D2107" s="889"/>
      <c r="E2107" s="890"/>
      <c r="F2107" s="891"/>
      <c r="I2107" s="893"/>
      <c r="J2107" s="894"/>
      <c r="K2107" s="895"/>
      <c r="L2107" s="895"/>
      <c r="M2107" s="895"/>
      <c r="N2107" s="898"/>
      <c r="O2107" s="682"/>
      <c r="U2107" s="596"/>
    </row>
    <row r="2108" spans="1:21" ht="19.149999999999999" customHeight="1">
      <c r="A2108" s="886"/>
      <c r="B2108" s="887"/>
      <c r="C2108" s="888"/>
      <c r="D2108" s="889"/>
      <c r="E2108" s="890"/>
      <c r="F2108" s="891"/>
      <c r="I2108" s="893"/>
      <c r="J2108" s="894"/>
      <c r="K2108" s="895"/>
      <c r="L2108" s="895"/>
      <c r="M2108" s="895"/>
      <c r="N2108" s="898"/>
      <c r="O2108" s="682"/>
      <c r="U2108" s="596"/>
    </row>
    <row r="2109" spans="1:21" ht="19.149999999999999" customHeight="1">
      <c r="A2109" s="886"/>
      <c r="B2109" s="887"/>
      <c r="C2109" s="888"/>
      <c r="D2109" s="889"/>
      <c r="E2109" s="890"/>
      <c r="F2109" s="891"/>
      <c r="I2109" s="893"/>
      <c r="J2109" s="894"/>
      <c r="K2109" s="895"/>
      <c r="L2109" s="895"/>
      <c r="M2109" s="895"/>
      <c r="N2109" s="898"/>
      <c r="O2109" s="682"/>
      <c r="U2109" s="596"/>
    </row>
    <row r="2110" spans="1:21" ht="19.149999999999999" customHeight="1">
      <c r="A2110" s="886"/>
      <c r="B2110" s="887"/>
      <c r="C2110" s="888"/>
      <c r="D2110" s="889"/>
      <c r="E2110" s="890"/>
      <c r="F2110" s="891"/>
      <c r="I2110" s="893"/>
      <c r="J2110" s="894"/>
      <c r="K2110" s="895"/>
      <c r="L2110" s="895"/>
      <c r="M2110" s="895"/>
      <c r="N2110" s="898"/>
      <c r="O2110" s="682"/>
      <c r="U2110" s="596"/>
    </row>
    <row r="2111" spans="1:21" ht="19.149999999999999" customHeight="1">
      <c r="A2111" s="886"/>
      <c r="B2111" s="887"/>
      <c r="C2111" s="888"/>
      <c r="D2111" s="889"/>
      <c r="E2111" s="890"/>
      <c r="F2111" s="891"/>
      <c r="I2111" s="893"/>
      <c r="J2111" s="894"/>
      <c r="K2111" s="895"/>
      <c r="L2111" s="895"/>
      <c r="M2111" s="895"/>
      <c r="N2111" s="898"/>
      <c r="O2111" s="682"/>
      <c r="U2111" s="596"/>
    </row>
    <row r="2112" spans="1:21" ht="19.149999999999999" customHeight="1">
      <c r="A2112" s="886"/>
      <c r="B2112" s="887"/>
      <c r="C2112" s="888"/>
      <c r="D2112" s="889"/>
      <c r="E2112" s="890"/>
      <c r="F2112" s="891"/>
      <c r="I2112" s="893"/>
      <c r="J2112" s="894"/>
      <c r="K2112" s="895"/>
      <c r="L2112" s="895"/>
      <c r="M2112" s="895"/>
      <c r="N2112" s="898"/>
      <c r="O2112" s="682"/>
      <c r="U2112" s="596"/>
    </row>
    <row r="2113" spans="1:21" ht="19.149999999999999" customHeight="1">
      <c r="A2113" s="886"/>
      <c r="B2113" s="887"/>
      <c r="C2113" s="888"/>
      <c r="D2113" s="889"/>
      <c r="E2113" s="890"/>
      <c r="F2113" s="891"/>
      <c r="I2113" s="893"/>
      <c r="J2113" s="894"/>
      <c r="K2113" s="895"/>
      <c r="L2113" s="895"/>
      <c r="M2113" s="895"/>
      <c r="N2113" s="898"/>
      <c r="O2113" s="682"/>
      <c r="U2113" s="596"/>
    </row>
    <row r="2114" spans="1:21" ht="19.149999999999999" customHeight="1">
      <c r="A2114" s="886"/>
      <c r="B2114" s="887"/>
      <c r="C2114" s="888"/>
      <c r="D2114" s="889"/>
      <c r="E2114" s="890"/>
      <c r="F2114" s="891"/>
      <c r="I2114" s="893"/>
      <c r="J2114" s="894"/>
      <c r="K2114" s="895"/>
      <c r="L2114" s="895"/>
      <c r="M2114" s="895"/>
      <c r="N2114" s="898"/>
      <c r="O2114" s="682"/>
      <c r="U2114" s="596"/>
    </row>
    <row r="2115" spans="1:21" ht="19.149999999999999" customHeight="1">
      <c r="A2115" s="886"/>
      <c r="B2115" s="887"/>
      <c r="C2115" s="888"/>
      <c r="D2115" s="889"/>
      <c r="E2115" s="890"/>
      <c r="F2115" s="891"/>
      <c r="I2115" s="893"/>
      <c r="J2115" s="894"/>
      <c r="K2115" s="895"/>
      <c r="L2115" s="895"/>
      <c r="M2115" s="895"/>
      <c r="N2115" s="898"/>
      <c r="O2115" s="682"/>
      <c r="U2115" s="596"/>
    </row>
    <row r="2116" spans="1:21" ht="19.149999999999999" customHeight="1">
      <c r="A2116" s="886"/>
      <c r="B2116" s="887"/>
      <c r="C2116" s="888"/>
      <c r="D2116" s="889"/>
      <c r="E2116" s="890"/>
      <c r="F2116" s="891"/>
      <c r="I2116" s="893"/>
      <c r="J2116" s="894"/>
      <c r="K2116" s="895"/>
      <c r="L2116" s="895"/>
      <c r="M2116" s="895"/>
      <c r="N2116" s="898"/>
      <c r="O2116" s="682"/>
      <c r="U2116" s="596"/>
    </row>
    <row r="2117" spans="1:21" ht="19.149999999999999" customHeight="1">
      <c r="A2117" s="886"/>
      <c r="B2117" s="887"/>
      <c r="C2117" s="888"/>
      <c r="D2117" s="889"/>
      <c r="E2117" s="890"/>
      <c r="F2117" s="891"/>
      <c r="I2117" s="893"/>
      <c r="J2117" s="894"/>
      <c r="K2117" s="895"/>
      <c r="L2117" s="895"/>
      <c r="M2117" s="895"/>
      <c r="N2117" s="898"/>
      <c r="O2117" s="682"/>
      <c r="U2117" s="596"/>
    </row>
    <row r="2118" spans="1:21" ht="19.149999999999999" customHeight="1">
      <c r="A2118" s="886"/>
      <c r="B2118" s="887"/>
      <c r="C2118" s="888"/>
      <c r="D2118" s="889"/>
      <c r="E2118" s="890"/>
      <c r="F2118" s="891"/>
      <c r="I2118" s="893"/>
      <c r="J2118" s="894"/>
      <c r="K2118" s="895"/>
      <c r="L2118" s="895"/>
      <c r="M2118" s="895"/>
      <c r="N2118" s="898"/>
      <c r="O2118" s="682"/>
      <c r="U2118" s="596"/>
    </row>
    <row r="2119" spans="1:21" ht="19.149999999999999" customHeight="1">
      <c r="A2119" s="886"/>
      <c r="B2119" s="887"/>
      <c r="C2119" s="888"/>
      <c r="D2119" s="889"/>
      <c r="E2119" s="890"/>
      <c r="F2119" s="891"/>
      <c r="I2119" s="893"/>
      <c r="J2119" s="894"/>
      <c r="K2119" s="895"/>
      <c r="L2119" s="895"/>
      <c r="M2119" s="895"/>
      <c r="N2119" s="898"/>
      <c r="O2119" s="682"/>
      <c r="U2119" s="596"/>
    </row>
    <row r="2120" spans="1:21" ht="19.149999999999999" customHeight="1">
      <c r="A2120" s="886"/>
      <c r="B2120" s="887"/>
      <c r="C2120" s="888"/>
      <c r="D2120" s="889"/>
      <c r="E2120" s="890"/>
      <c r="F2120" s="891"/>
      <c r="I2120" s="893"/>
      <c r="J2120" s="894"/>
      <c r="K2120" s="895"/>
      <c r="L2120" s="895"/>
      <c r="M2120" s="895"/>
      <c r="N2120" s="898"/>
      <c r="O2120" s="682"/>
      <c r="U2120" s="596"/>
    </row>
    <row r="2121" spans="1:21" ht="19.149999999999999" customHeight="1">
      <c r="A2121" s="886"/>
      <c r="B2121" s="887"/>
      <c r="C2121" s="888"/>
      <c r="D2121" s="889"/>
      <c r="E2121" s="890"/>
      <c r="F2121" s="891"/>
      <c r="I2121" s="893"/>
      <c r="J2121" s="894"/>
      <c r="K2121" s="895"/>
      <c r="L2121" s="895"/>
      <c r="M2121" s="895"/>
      <c r="N2121" s="898"/>
      <c r="O2121" s="682"/>
      <c r="U2121" s="596"/>
    </row>
    <row r="2122" spans="1:21" ht="19.149999999999999" customHeight="1">
      <c r="A2122" s="886"/>
      <c r="B2122" s="887"/>
      <c r="C2122" s="888"/>
      <c r="D2122" s="889"/>
      <c r="E2122" s="890"/>
      <c r="F2122" s="891"/>
      <c r="I2122" s="893"/>
      <c r="J2122" s="894"/>
      <c r="K2122" s="895"/>
      <c r="L2122" s="895"/>
      <c r="M2122" s="895"/>
      <c r="N2122" s="898"/>
      <c r="O2122" s="682"/>
      <c r="U2122" s="596"/>
    </row>
    <row r="2123" spans="1:21" ht="19.149999999999999" customHeight="1">
      <c r="A2123" s="886"/>
      <c r="B2123" s="887"/>
      <c r="C2123" s="888"/>
      <c r="D2123" s="889"/>
      <c r="E2123" s="890"/>
      <c r="F2123" s="891"/>
      <c r="I2123" s="893"/>
      <c r="J2123" s="894"/>
      <c r="K2123" s="895"/>
      <c r="L2123" s="895"/>
      <c r="M2123" s="895"/>
      <c r="N2123" s="898"/>
      <c r="O2123" s="682"/>
      <c r="U2123" s="596"/>
    </row>
    <row r="2124" spans="1:21" ht="19.149999999999999" customHeight="1">
      <c r="A2124" s="886"/>
      <c r="B2124" s="887"/>
      <c r="C2124" s="888"/>
      <c r="D2124" s="889"/>
      <c r="E2124" s="890"/>
      <c r="F2124" s="891"/>
      <c r="I2124" s="893"/>
      <c r="J2124" s="894"/>
      <c r="K2124" s="895"/>
      <c r="L2124" s="895"/>
      <c r="M2124" s="895"/>
      <c r="N2124" s="898"/>
      <c r="O2124" s="682"/>
      <c r="U2124" s="596"/>
    </row>
    <row r="2125" spans="1:21" ht="19.149999999999999" customHeight="1">
      <c r="A2125" s="886"/>
      <c r="B2125" s="887"/>
      <c r="C2125" s="888"/>
      <c r="D2125" s="889"/>
      <c r="E2125" s="890"/>
      <c r="F2125" s="891"/>
      <c r="I2125" s="893"/>
      <c r="J2125" s="894"/>
      <c r="K2125" s="895"/>
      <c r="L2125" s="895"/>
      <c r="M2125" s="895"/>
      <c r="N2125" s="898"/>
      <c r="O2125" s="682"/>
      <c r="U2125" s="596"/>
    </row>
    <row r="2126" spans="1:21" ht="19.149999999999999" customHeight="1">
      <c r="A2126" s="886"/>
      <c r="B2126" s="887"/>
      <c r="C2126" s="888"/>
      <c r="D2126" s="889"/>
      <c r="E2126" s="890"/>
      <c r="F2126" s="891"/>
      <c r="I2126" s="893"/>
      <c r="J2126" s="894"/>
      <c r="K2126" s="895"/>
      <c r="L2126" s="895"/>
      <c r="M2126" s="895"/>
      <c r="N2126" s="898"/>
      <c r="O2126" s="682"/>
      <c r="U2126" s="596"/>
    </row>
    <row r="2127" spans="1:21" ht="19.149999999999999" customHeight="1">
      <c r="A2127" s="886"/>
      <c r="B2127" s="887"/>
      <c r="C2127" s="888"/>
      <c r="D2127" s="889"/>
      <c r="E2127" s="890"/>
      <c r="F2127" s="891"/>
      <c r="I2127" s="893"/>
      <c r="J2127" s="894"/>
      <c r="K2127" s="895"/>
      <c r="L2127" s="895"/>
      <c r="M2127" s="895"/>
      <c r="N2127" s="898"/>
      <c r="O2127" s="682"/>
      <c r="U2127" s="596"/>
    </row>
    <row r="2128" spans="1:21" ht="19.149999999999999" customHeight="1">
      <c r="A2128" s="886"/>
      <c r="B2128" s="887"/>
      <c r="C2128" s="888"/>
      <c r="D2128" s="889"/>
      <c r="E2128" s="890"/>
      <c r="F2128" s="891"/>
      <c r="I2128" s="893"/>
      <c r="J2128" s="894"/>
      <c r="K2128" s="895"/>
      <c r="L2128" s="895"/>
      <c r="M2128" s="895"/>
      <c r="N2128" s="898"/>
      <c r="O2128" s="682"/>
      <c r="U2128" s="596"/>
    </row>
    <row r="2129" spans="1:21" ht="19.149999999999999" customHeight="1">
      <c r="A2129" s="886"/>
      <c r="B2129" s="887"/>
      <c r="C2129" s="888"/>
      <c r="D2129" s="889"/>
      <c r="E2129" s="890"/>
      <c r="F2129" s="891"/>
      <c r="I2129" s="893"/>
      <c r="J2129" s="894"/>
      <c r="K2129" s="895"/>
      <c r="L2129" s="895"/>
      <c r="M2129" s="895"/>
      <c r="N2129" s="898"/>
      <c r="O2129" s="682"/>
      <c r="U2129" s="596"/>
    </row>
    <row r="2130" spans="1:21" ht="19.149999999999999" customHeight="1">
      <c r="A2130" s="886"/>
      <c r="B2130" s="887"/>
      <c r="C2130" s="888"/>
      <c r="D2130" s="889"/>
      <c r="E2130" s="890"/>
      <c r="F2130" s="891"/>
      <c r="I2130" s="893"/>
      <c r="J2130" s="894"/>
      <c r="K2130" s="895"/>
      <c r="L2130" s="895"/>
      <c r="M2130" s="895"/>
      <c r="N2130" s="898"/>
      <c r="O2130" s="682"/>
      <c r="U2130" s="596"/>
    </row>
    <row r="2131" spans="1:21" ht="19.149999999999999" customHeight="1">
      <c r="A2131" s="886"/>
      <c r="B2131" s="887"/>
      <c r="C2131" s="888"/>
      <c r="D2131" s="889"/>
      <c r="E2131" s="890"/>
      <c r="F2131" s="891"/>
      <c r="I2131" s="893"/>
      <c r="J2131" s="894"/>
      <c r="K2131" s="895"/>
      <c r="L2131" s="895"/>
      <c r="M2131" s="895"/>
      <c r="N2131" s="898"/>
      <c r="O2131" s="682"/>
      <c r="U2131" s="596"/>
    </row>
    <row r="2132" spans="1:21" ht="19.149999999999999" customHeight="1">
      <c r="A2132" s="886"/>
      <c r="B2132" s="887"/>
      <c r="C2132" s="888"/>
      <c r="D2132" s="889"/>
      <c r="E2132" s="890"/>
      <c r="F2132" s="891"/>
      <c r="I2132" s="893"/>
      <c r="J2132" s="894"/>
      <c r="K2132" s="895"/>
      <c r="L2132" s="895"/>
      <c r="M2132" s="895"/>
      <c r="N2132" s="898"/>
      <c r="O2132" s="682"/>
      <c r="U2132" s="596"/>
    </row>
    <row r="2133" spans="1:21" ht="19.149999999999999" customHeight="1">
      <c r="A2133" s="886"/>
      <c r="B2133" s="887"/>
      <c r="C2133" s="888"/>
      <c r="D2133" s="889"/>
      <c r="E2133" s="890"/>
      <c r="F2133" s="891"/>
      <c r="I2133" s="893"/>
      <c r="J2133" s="894"/>
      <c r="K2133" s="895"/>
      <c r="L2133" s="895"/>
      <c r="M2133" s="895"/>
      <c r="N2133" s="898"/>
      <c r="O2133" s="682"/>
      <c r="U2133" s="596"/>
    </row>
    <row r="2134" spans="1:21" ht="19.149999999999999" customHeight="1">
      <c r="A2134" s="886"/>
      <c r="B2134" s="887"/>
      <c r="C2134" s="888"/>
      <c r="D2134" s="889"/>
      <c r="E2134" s="890"/>
      <c r="F2134" s="891"/>
      <c r="I2134" s="893"/>
      <c r="J2134" s="894"/>
      <c r="K2134" s="895"/>
      <c r="L2134" s="895"/>
      <c r="M2134" s="895"/>
      <c r="N2134" s="898"/>
      <c r="O2134" s="682"/>
      <c r="U2134" s="596"/>
    </row>
    <row r="2135" spans="1:21" ht="19.149999999999999" customHeight="1">
      <c r="A2135" s="886"/>
      <c r="B2135" s="887"/>
      <c r="C2135" s="888"/>
      <c r="D2135" s="889"/>
      <c r="E2135" s="890"/>
      <c r="F2135" s="891"/>
      <c r="I2135" s="893"/>
      <c r="J2135" s="894"/>
      <c r="K2135" s="895"/>
      <c r="L2135" s="895"/>
      <c r="M2135" s="895"/>
      <c r="N2135" s="898"/>
      <c r="O2135" s="682"/>
      <c r="U2135" s="596"/>
    </row>
    <row r="2136" spans="1:21" ht="19.149999999999999" customHeight="1">
      <c r="A2136" s="886"/>
      <c r="B2136" s="887"/>
      <c r="C2136" s="888"/>
      <c r="D2136" s="889"/>
      <c r="E2136" s="890"/>
      <c r="F2136" s="891"/>
      <c r="I2136" s="893"/>
      <c r="J2136" s="894"/>
      <c r="K2136" s="895"/>
      <c r="L2136" s="895"/>
      <c r="M2136" s="895"/>
      <c r="N2136" s="898"/>
      <c r="O2136" s="682"/>
      <c r="U2136" s="596"/>
    </row>
    <row r="2137" spans="1:21" ht="19.149999999999999" customHeight="1">
      <c r="A2137" s="886"/>
      <c r="B2137" s="887"/>
      <c r="C2137" s="888"/>
      <c r="D2137" s="889"/>
      <c r="E2137" s="890"/>
      <c r="F2137" s="891"/>
      <c r="I2137" s="893"/>
      <c r="J2137" s="894"/>
      <c r="K2137" s="895"/>
      <c r="L2137" s="895"/>
      <c r="M2137" s="895"/>
      <c r="N2137" s="898"/>
      <c r="O2137" s="682"/>
      <c r="U2137" s="596"/>
    </row>
    <row r="2138" spans="1:21" ht="19.149999999999999" customHeight="1">
      <c r="A2138" s="886"/>
      <c r="B2138" s="887"/>
      <c r="C2138" s="888"/>
      <c r="D2138" s="889"/>
      <c r="E2138" s="890"/>
      <c r="F2138" s="891"/>
      <c r="I2138" s="893"/>
      <c r="J2138" s="894"/>
      <c r="K2138" s="895"/>
      <c r="L2138" s="895"/>
      <c r="M2138" s="895"/>
      <c r="N2138" s="898"/>
      <c r="O2138" s="682"/>
      <c r="U2138" s="596"/>
    </row>
    <row r="2139" spans="1:21" ht="19.149999999999999" customHeight="1">
      <c r="A2139" s="886"/>
      <c r="B2139" s="887"/>
      <c r="C2139" s="888"/>
      <c r="D2139" s="889"/>
      <c r="E2139" s="890"/>
      <c r="F2139" s="891"/>
      <c r="I2139" s="893"/>
      <c r="J2139" s="894"/>
      <c r="K2139" s="895"/>
      <c r="L2139" s="895"/>
      <c r="M2139" s="895"/>
      <c r="N2139" s="898"/>
      <c r="O2139" s="682"/>
      <c r="U2139" s="596"/>
    </row>
    <row r="2140" spans="1:21" ht="19.149999999999999" customHeight="1">
      <c r="A2140" s="886"/>
      <c r="B2140" s="887"/>
      <c r="C2140" s="888"/>
      <c r="D2140" s="889"/>
      <c r="E2140" s="890"/>
      <c r="F2140" s="891"/>
      <c r="I2140" s="893"/>
      <c r="J2140" s="894"/>
      <c r="K2140" s="895"/>
      <c r="L2140" s="895"/>
      <c r="M2140" s="895"/>
      <c r="N2140" s="898"/>
      <c r="O2140" s="682"/>
      <c r="U2140" s="596"/>
    </row>
    <row r="2141" spans="1:21" ht="19.149999999999999" customHeight="1">
      <c r="A2141" s="886"/>
      <c r="B2141" s="887"/>
      <c r="C2141" s="888"/>
      <c r="D2141" s="889"/>
      <c r="E2141" s="890"/>
      <c r="F2141" s="891"/>
      <c r="I2141" s="893"/>
      <c r="J2141" s="894"/>
      <c r="K2141" s="895"/>
      <c r="L2141" s="895"/>
      <c r="M2141" s="895"/>
      <c r="N2141" s="898"/>
      <c r="O2141" s="682"/>
      <c r="U2141" s="596"/>
    </row>
    <row r="2142" spans="1:21" ht="19.149999999999999" customHeight="1">
      <c r="A2142" s="886"/>
      <c r="B2142" s="887"/>
      <c r="C2142" s="888"/>
      <c r="D2142" s="889"/>
      <c r="E2142" s="890"/>
      <c r="F2142" s="891"/>
      <c r="I2142" s="893"/>
      <c r="J2142" s="894"/>
      <c r="K2142" s="895"/>
      <c r="L2142" s="895"/>
      <c r="M2142" s="895"/>
      <c r="N2142" s="898"/>
      <c r="O2142" s="682"/>
      <c r="U2142" s="596"/>
    </row>
    <row r="2143" spans="1:21" ht="19.149999999999999" customHeight="1">
      <c r="A2143" s="886"/>
      <c r="B2143" s="887"/>
      <c r="C2143" s="888"/>
      <c r="D2143" s="889"/>
      <c r="E2143" s="890"/>
      <c r="F2143" s="891"/>
      <c r="I2143" s="893"/>
      <c r="J2143" s="894"/>
      <c r="K2143" s="895"/>
      <c r="L2143" s="895"/>
      <c r="M2143" s="895"/>
      <c r="N2143" s="898"/>
      <c r="O2143" s="682"/>
      <c r="U2143" s="596"/>
    </row>
    <row r="2144" spans="1:21" ht="19.149999999999999" customHeight="1">
      <c r="A2144" s="886"/>
      <c r="B2144" s="887"/>
      <c r="C2144" s="888"/>
      <c r="D2144" s="889"/>
      <c r="E2144" s="890"/>
      <c r="F2144" s="891"/>
      <c r="I2144" s="893"/>
      <c r="J2144" s="894"/>
      <c r="K2144" s="895"/>
      <c r="L2144" s="895"/>
      <c r="M2144" s="895"/>
      <c r="N2144" s="898"/>
      <c r="O2144" s="682"/>
      <c r="U2144" s="596"/>
    </row>
    <row r="2145" spans="1:21" ht="19.149999999999999" customHeight="1">
      <c r="A2145" s="886"/>
      <c r="B2145" s="887"/>
      <c r="C2145" s="888"/>
      <c r="D2145" s="889"/>
      <c r="E2145" s="890"/>
      <c r="F2145" s="891"/>
      <c r="I2145" s="893"/>
      <c r="J2145" s="894"/>
      <c r="K2145" s="895"/>
      <c r="L2145" s="895"/>
      <c r="M2145" s="895"/>
      <c r="N2145" s="898"/>
      <c r="O2145" s="682"/>
      <c r="U2145" s="596"/>
    </row>
    <row r="2146" spans="1:21" ht="19.149999999999999" customHeight="1">
      <c r="A2146" s="886"/>
      <c r="B2146" s="887"/>
      <c r="C2146" s="888"/>
      <c r="D2146" s="889"/>
      <c r="E2146" s="890"/>
      <c r="F2146" s="891"/>
      <c r="I2146" s="893"/>
      <c r="J2146" s="894"/>
      <c r="K2146" s="895"/>
      <c r="L2146" s="895"/>
      <c r="M2146" s="895"/>
      <c r="N2146" s="898"/>
      <c r="O2146" s="682"/>
      <c r="U2146" s="596"/>
    </row>
    <row r="2147" spans="1:21" ht="19.149999999999999" customHeight="1">
      <c r="A2147" s="886"/>
      <c r="B2147" s="887"/>
      <c r="C2147" s="888"/>
      <c r="D2147" s="889"/>
      <c r="E2147" s="890"/>
      <c r="F2147" s="891"/>
      <c r="I2147" s="893"/>
      <c r="J2147" s="894"/>
      <c r="K2147" s="895"/>
      <c r="L2147" s="895"/>
      <c r="M2147" s="895"/>
      <c r="N2147" s="898"/>
      <c r="O2147" s="682"/>
      <c r="U2147" s="596"/>
    </row>
    <row r="2148" spans="1:21" ht="19.149999999999999" customHeight="1">
      <c r="A2148" s="886"/>
      <c r="B2148" s="887"/>
      <c r="C2148" s="888"/>
      <c r="D2148" s="889"/>
      <c r="E2148" s="890"/>
      <c r="F2148" s="891"/>
      <c r="I2148" s="893"/>
      <c r="J2148" s="894"/>
      <c r="K2148" s="895"/>
      <c r="L2148" s="895"/>
      <c r="M2148" s="895"/>
      <c r="N2148" s="898"/>
      <c r="O2148" s="682"/>
      <c r="U2148" s="596"/>
    </row>
    <row r="2149" spans="1:21" ht="19.149999999999999" customHeight="1">
      <c r="A2149" s="886"/>
      <c r="B2149" s="887"/>
      <c r="C2149" s="888"/>
      <c r="D2149" s="889"/>
      <c r="E2149" s="890"/>
      <c r="F2149" s="891"/>
      <c r="I2149" s="893"/>
      <c r="J2149" s="894"/>
      <c r="K2149" s="895"/>
      <c r="L2149" s="895"/>
      <c r="M2149" s="895"/>
      <c r="N2149" s="898"/>
      <c r="O2149" s="682"/>
      <c r="U2149" s="596"/>
    </row>
    <row r="2150" spans="1:21" ht="19.149999999999999" customHeight="1">
      <c r="A2150" s="886"/>
      <c r="B2150" s="887"/>
      <c r="C2150" s="888"/>
      <c r="D2150" s="889"/>
      <c r="E2150" s="890"/>
      <c r="F2150" s="891"/>
      <c r="I2150" s="893"/>
      <c r="J2150" s="894"/>
      <c r="K2150" s="895"/>
      <c r="L2150" s="895"/>
      <c r="M2150" s="895"/>
      <c r="N2150" s="898"/>
      <c r="O2150" s="682"/>
      <c r="U2150" s="596"/>
    </row>
    <row r="2151" spans="1:21" ht="19.149999999999999" customHeight="1">
      <c r="A2151" s="886"/>
      <c r="B2151" s="887"/>
      <c r="C2151" s="888"/>
      <c r="D2151" s="889"/>
      <c r="E2151" s="890"/>
      <c r="F2151" s="891"/>
      <c r="I2151" s="893"/>
      <c r="J2151" s="894"/>
      <c r="K2151" s="895"/>
      <c r="L2151" s="895"/>
      <c r="M2151" s="895"/>
      <c r="N2151" s="898"/>
      <c r="O2151" s="682"/>
      <c r="U2151" s="596"/>
    </row>
    <row r="2152" spans="1:21" ht="19.149999999999999" customHeight="1">
      <c r="A2152" s="886"/>
      <c r="B2152" s="887"/>
      <c r="C2152" s="888"/>
      <c r="D2152" s="889"/>
      <c r="E2152" s="890"/>
      <c r="F2152" s="891"/>
      <c r="I2152" s="893"/>
      <c r="J2152" s="894"/>
      <c r="K2152" s="895"/>
      <c r="L2152" s="895"/>
      <c r="M2152" s="895"/>
      <c r="N2152" s="898"/>
      <c r="O2152" s="682"/>
      <c r="U2152" s="596"/>
    </row>
    <row r="2153" spans="1:21" ht="19.149999999999999" customHeight="1">
      <c r="A2153" s="886"/>
      <c r="B2153" s="887"/>
      <c r="C2153" s="888"/>
      <c r="D2153" s="889"/>
      <c r="E2153" s="890"/>
      <c r="F2153" s="891"/>
      <c r="I2153" s="893"/>
      <c r="J2153" s="894"/>
      <c r="K2153" s="895"/>
      <c r="L2153" s="895"/>
      <c r="M2153" s="895"/>
      <c r="N2153" s="898"/>
      <c r="O2153" s="682"/>
      <c r="U2153" s="596"/>
    </row>
    <row r="2154" spans="1:21" ht="19.149999999999999" customHeight="1">
      <c r="A2154" s="886"/>
      <c r="B2154" s="887"/>
      <c r="C2154" s="888"/>
      <c r="D2154" s="889"/>
      <c r="E2154" s="890"/>
      <c r="F2154" s="891"/>
      <c r="I2154" s="893"/>
      <c r="J2154" s="894"/>
      <c r="K2154" s="895"/>
      <c r="L2154" s="895"/>
      <c r="M2154" s="895"/>
      <c r="N2154" s="898"/>
      <c r="O2154" s="682"/>
      <c r="U2154" s="596"/>
    </row>
    <row r="2155" spans="1:21" ht="19.149999999999999" customHeight="1">
      <c r="A2155" s="886"/>
      <c r="B2155" s="887"/>
      <c r="C2155" s="888"/>
      <c r="D2155" s="889"/>
      <c r="E2155" s="890"/>
      <c r="F2155" s="891"/>
      <c r="I2155" s="893"/>
      <c r="J2155" s="894"/>
      <c r="K2155" s="895"/>
      <c r="L2155" s="895"/>
      <c r="M2155" s="895"/>
      <c r="N2155" s="898"/>
      <c r="O2155" s="682"/>
      <c r="U2155" s="596"/>
    </row>
    <row r="2156" spans="1:21" ht="19.149999999999999" customHeight="1">
      <c r="A2156" s="886"/>
      <c r="B2156" s="887"/>
      <c r="C2156" s="888"/>
      <c r="D2156" s="889"/>
      <c r="E2156" s="890"/>
      <c r="F2156" s="891"/>
      <c r="I2156" s="893"/>
      <c r="J2156" s="894"/>
      <c r="K2156" s="895"/>
      <c r="L2156" s="895"/>
      <c r="M2156" s="895"/>
      <c r="N2156" s="898"/>
      <c r="O2156" s="682"/>
      <c r="U2156" s="596"/>
    </row>
    <row r="2157" spans="1:21" ht="19.149999999999999" customHeight="1">
      <c r="A2157" s="886"/>
      <c r="B2157" s="887"/>
      <c r="C2157" s="888"/>
      <c r="D2157" s="889"/>
      <c r="E2157" s="890"/>
      <c r="F2157" s="891"/>
      <c r="I2157" s="893"/>
      <c r="J2157" s="894"/>
      <c r="K2157" s="895"/>
      <c r="L2157" s="895"/>
      <c r="M2157" s="895"/>
      <c r="N2157" s="898"/>
      <c r="O2157" s="682"/>
      <c r="U2157" s="596"/>
    </row>
    <row r="2158" spans="1:21" ht="19.149999999999999" customHeight="1">
      <c r="A2158" s="886"/>
      <c r="B2158" s="887"/>
      <c r="C2158" s="888"/>
      <c r="D2158" s="889"/>
      <c r="E2158" s="890"/>
      <c r="F2158" s="891"/>
      <c r="I2158" s="893"/>
      <c r="J2158" s="894"/>
      <c r="K2158" s="895"/>
      <c r="L2158" s="895"/>
      <c r="M2158" s="895"/>
      <c r="N2158" s="898"/>
      <c r="O2158" s="682"/>
      <c r="U2158" s="596"/>
    </row>
    <row r="2159" spans="1:21" ht="19.149999999999999" customHeight="1">
      <c r="A2159" s="886"/>
      <c r="B2159" s="887"/>
      <c r="C2159" s="888"/>
      <c r="D2159" s="889"/>
      <c r="E2159" s="890"/>
      <c r="F2159" s="891"/>
      <c r="I2159" s="893"/>
      <c r="J2159" s="894"/>
      <c r="K2159" s="895"/>
      <c r="L2159" s="895"/>
      <c r="M2159" s="895"/>
      <c r="N2159" s="898"/>
      <c r="O2159" s="682"/>
      <c r="U2159" s="596"/>
    </row>
    <row r="2160" spans="1:21" ht="19.149999999999999" customHeight="1">
      <c r="A2160" s="886"/>
      <c r="B2160" s="887"/>
      <c r="C2160" s="888"/>
      <c r="D2160" s="889"/>
      <c r="E2160" s="890"/>
      <c r="F2160" s="891"/>
      <c r="I2160" s="893"/>
      <c r="J2160" s="894"/>
      <c r="K2160" s="895"/>
      <c r="L2160" s="895"/>
      <c r="M2160" s="895"/>
      <c r="N2160" s="898"/>
      <c r="O2160" s="682"/>
      <c r="U2160" s="596"/>
    </row>
    <row r="2161" spans="1:21" ht="19.149999999999999" customHeight="1">
      <c r="A2161" s="886"/>
      <c r="B2161" s="887"/>
      <c r="C2161" s="888"/>
      <c r="D2161" s="889"/>
      <c r="E2161" s="890"/>
      <c r="F2161" s="891"/>
      <c r="I2161" s="893"/>
      <c r="J2161" s="894"/>
      <c r="K2161" s="895"/>
      <c r="L2161" s="895"/>
      <c r="M2161" s="895"/>
      <c r="N2161" s="898"/>
      <c r="O2161" s="682"/>
      <c r="U2161" s="596"/>
    </row>
    <row r="2162" spans="1:21" ht="19.149999999999999" customHeight="1">
      <c r="A2162" s="886"/>
      <c r="B2162" s="887"/>
      <c r="C2162" s="888"/>
      <c r="D2162" s="889"/>
      <c r="E2162" s="890"/>
      <c r="F2162" s="891"/>
      <c r="I2162" s="893"/>
      <c r="J2162" s="894"/>
      <c r="K2162" s="895"/>
      <c r="L2162" s="895"/>
      <c r="M2162" s="895"/>
      <c r="N2162" s="898"/>
      <c r="O2162" s="682"/>
      <c r="U2162" s="596"/>
    </row>
    <row r="2163" spans="1:21" ht="19.149999999999999" customHeight="1">
      <c r="A2163" s="886"/>
      <c r="B2163" s="887"/>
      <c r="C2163" s="888"/>
      <c r="D2163" s="889"/>
      <c r="E2163" s="890"/>
      <c r="F2163" s="891"/>
      <c r="I2163" s="893"/>
      <c r="J2163" s="894"/>
      <c r="K2163" s="895"/>
      <c r="L2163" s="895"/>
      <c r="M2163" s="895"/>
      <c r="N2163" s="898"/>
      <c r="O2163" s="682"/>
      <c r="U2163" s="596"/>
    </row>
    <row r="2164" spans="1:21" ht="19.149999999999999" customHeight="1">
      <c r="A2164" s="886"/>
      <c r="B2164" s="887"/>
      <c r="C2164" s="888"/>
      <c r="D2164" s="889"/>
      <c r="E2164" s="890"/>
      <c r="F2164" s="891"/>
      <c r="I2164" s="893"/>
      <c r="J2164" s="894"/>
      <c r="K2164" s="895"/>
      <c r="L2164" s="895"/>
      <c r="M2164" s="895"/>
      <c r="N2164" s="898"/>
      <c r="O2164" s="682"/>
      <c r="U2164" s="596"/>
    </row>
    <row r="2165" spans="1:21" ht="19.149999999999999" customHeight="1">
      <c r="A2165" s="886"/>
      <c r="B2165" s="887"/>
      <c r="C2165" s="888"/>
      <c r="D2165" s="889"/>
      <c r="E2165" s="890"/>
      <c r="F2165" s="891"/>
      <c r="I2165" s="893"/>
      <c r="J2165" s="894"/>
      <c r="K2165" s="895"/>
      <c r="L2165" s="895"/>
      <c r="M2165" s="895"/>
      <c r="N2165" s="898"/>
      <c r="O2165" s="682"/>
      <c r="U2165" s="596"/>
    </row>
    <row r="2166" spans="1:21" ht="19.149999999999999" customHeight="1">
      <c r="A2166" s="886"/>
      <c r="B2166" s="887"/>
      <c r="C2166" s="888"/>
      <c r="D2166" s="889"/>
      <c r="E2166" s="890"/>
      <c r="F2166" s="891"/>
      <c r="I2166" s="893"/>
      <c r="J2166" s="894"/>
      <c r="K2166" s="895"/>
      <c r="L2166" s="895"/>
      <c r="M2166" s="895"/>
      <c r="N2166" s="898"/>
      <c r="O2166" s="682"/>
      <c r="U2166" s="596"/>
    </row>
    <row r="2167" spans="1:21" ht="19.149999999999999" customHeight="1">
      <c r="A2167" s="886"/>
      <c r="B2167" s="887"/>
      <c r="C2167" s="888"/>
      <c r="D2167" s="889"/>
      <c r="E2167" s="890"/>
      <c r="F2167" s="891"/>
      <c r="I2167" s="893"/>
      <c r="J2167" s="894"/>
      <c r="K2167" s="895"/>
      <c r="L2167" s="895"/>
      <c r="M2167" s="895"/>
      <c r="N2167" s="898"/>
      <c r="O2167" s="682"/>
      <c r="U2167" s="596"/>
    </row>
    <row r="2168" spans="1:21" ht="19.149999999999999" customHeight="1">
      <c r="A2168" s="886"/>
      <c r="B2168" s="887"/>
      <c r="C2168" s="888"/>
      <c r="D2168" s="889"/>
      <c r="E2168" s="890"/>
      <c r="F2168" s="891"/>
      <c r="I2168" s="893"/>
      <c r="J2168" s="894"/>
      <c r="K2168" s="895"/>
      <c r="L2168" s="895"/>
      <c r="M2168" s="895"/>
      <c r="N2168" s="898"/>
      <c r="O2168" s="682"/>
      <c r="U2168" s="596"/>
    </row>
    <row r="2169" spans="1:21" ht="19.149999999999999" customHeight="1">
      <c r="A2169" s="886"/>
      <c r="B2169" s="887"/>
      <c r="C2169" s="888"/>
      <c r="D2169" s="889"/>
      <c r="E2169" s="890"/>
      <c r="F2169" s="891"/>
      <c r="I2169" s="893"/>
      <c r="J2169" s="894"/>
      <c r="K2169" s="895"/>
      <c r="L2169" s="895"/>
      <c r="M2169" s="895"/>
      <c r="N2169" s="898"/>
      <c r="O2169" s="682"/>
      <c r="U2169" s="596"/>
    </row>
    <row r="2170" spans="1:21" ht="19.149999999999999" customHeight="1">
      <c r="A2170" s="886"/>
      <c r="B2170" s="887"/>
      <c r="C2170" s="888"/>
      <c r="D2170" s="889"/>
      <c r="E2170" s="890"/>
      <c r="F2170" s="891"/>
      <c r="I2170" s="893"/>
      <c r="J2170" s="894"/>
      <c r="K2170" s="895"/>
      <c r="L2170" s="895"/>
      <c r="M2170" s="895"/>
      <c r="N2170" s="898"/>
      <c r="O2170" s="682"/>
      <c r="U2170" s="596"/>
    </row>
    <row r="2171" spans="1:21" ht="19.149999999999999" customHeight="1">
      <c r="A2171" s="886"/>
      <c r="B2171" s="887"/>
      <c r="C2171" s="888"/>
      <c r="D2171" s="889"/>
      <c r="E2171" s="890"/>
      <c r="F2171" s="891"/>
      <c r="I2171" s="893"/>
      <c r="J2171" s="894"/>
      <c r="K2171" s="895"/>
      <c r="L2171" s="895"/>
      <c r="M2171" s="895"/>
      <c r="N2171" s="898"/>
      <c r="O2171" s="682"/>
      <c r="U2171" s="596"/>
    </row>
    <row r="2172" spans="1:21" ht="19.149999999999999" customHeight="1">
      <c r="A2172" s="886"/>
      <c r="B2172" s="887"/>
      <c r="C2172" s="888"/>
      <c r="D2172" s="889"/>
      <c r="E2172" s="890"/>
      <c r="F2172" s="891"/>
      <c r="I2172" s="893"/>
      <c r="J2172" s="894"/>
      <c r="K2172" s="895"/>
      <c r="L2172" s="895"/>
      <c r="M2172" s="895"/>
      <c r="N2172" s="898"/>
      <c r="O2172" s="682"/>
      <c r="U2172" s="596"/>
    </row>
    <row r="2173" spans="1:21" ht="19.149999999999999" customHeight="1">
      <c r="A2173" s="886"/>
      <c r="B2173" s="887"/>
      <c r="C2173" s="888"/>
      <c r="D2173" s="889"/>
      <c r="E2173" s="890"/>
      <c r="F2173" s="891"/>
      <c r="I2173" s="893"/>
      <c r="J2173" s="894"/>
      <c r="K2173" s="895"/>
      <c r="L2173" s="895"/>
      <c r="M2173" s="895"/>
      <c r="N2173" s="898"/>
      <c r="O2173" s="682"/>
      <c r="U2173" s="596"/>
    </row>
    <row r="2174" spans="1:21" ht="19.149999999999999" customHeight="1">
      <c r="A2174" s="886"/>
      <c r="B2174" s="887"/>
      <c r="C2174" s="888"/>
      <c r="D2174" s="889"/>
      <c r="E2174" s="890"/>
      <c r="F2174" s="891"/>
      <c r="I2174" s="893"/>
      <c r="J2174" s="894"/>
      <c r="K2174" s="895"/>
      <c r="L2174" s="895"/>
      <c r="M2174" s="895"/>
      <c r="N2174" s="898"/>
      <c r="O2174" s="682"/>
      <c r="U2174" s="596"/>
    </row>
    <row r="2175" spans="1:21" ht="19.149999999999999" customHeight="1">
      <c r="A2175" s="886"/>
      <c r="B2175" s="887"/>
      <c r="C2175" s="888"/>
      <c r="D2175" s="889"/>
      <c r="E2175" s="890"/>
      <c r="F2175" s="891"/>
      <c r="I2175" s="893"/>
      <c r="J2175" s="894"/>
      <c r="K2175" s="895"/>
      <c r="L2175" s="895"/>
      <c r="M2175" s="895"/>
      <c r="N2175" s="898"/>
      <c r="O2175" s="682"/>
      <c r="U2175" s="596"/>
    </row>
    <row r="2176" spans="1:21" ht="19.149999999999999" customHeight="1">
      <c r="A2176" s="886"/>
      <c r="B2176" s="887"/>
      <c r="C2176" s="888"/>
      <c r="D2176" s="889"/>
      <c r="E2176" s="890"/>
      <c r="F2176" s="891"/>
      <c r="I2176" s="893"/>
      <c r="J2176" s="894"/>
      <c r="K2176" s="895"/>
      <c r="L2176" s="895"/>
      <c r="M2176" s="895"/>
      <c r="N2176" s="898"/>
      <c r="O2176" s="682"/>
      <c r="U2176" s="596"/>
    </row>
    <row r="2177" spans="1:21" ht="19.149999999999999" customHeight="1">
      <c r="A2177" s="886"/>
      <c r="B2177" s="887"/>
      <c r="C2177" s="888"/>
      <c r="D2177" s="889"/>
      <c r="E2177" s="890"/>
      <c r="F2177" s="891"/>
      <c r="I2177" s="893"/>
      <c r="J2177" s="894"/>
      <c r="K2177" s="895"/>
      <c r="L2177" s="895"/>
      <c r="M2177" s="895"/>
      <c r="N2177" s="898"/>
      <c r="O2177" s="682"/>
      <c r="U2177" s="596"/>
    </row>
    <row r="2178" spans="1:21" ht="19.149999999999999" customHeight="1">
      <c r="A2178" s="886"/>
      <c r="B2178" s="887"/>
      <c r="C2178" s="888"/>
      <c r="D2178" s="889"/>
      <c r="E2178" s="890"/>
      <c r="F2178" s="891"/>
      <c r="I2178" s="893"/>
      <c r="J2178" s="894"/>
      <c r="K2178" s="895"/>
      <c r="L2178" s="895"/>
      <c r="M2178" s="895"/>
      <c r="N2178" s="898"/>
      <c r="O2178" s="682"/>
      <c r="U2178" s="596"/>
    </row>
    <row r="2179" spans="1:21" ht="19.149999999999999" customHeight="1">
      <c r="A2179" s="886"/>
      <c r="B2179" s="887"/>
      <c r="C2179" s="888"/>
      <c r="D2179" s="889"/>
      <c r="E2179" s="890"/>
      <c r="F2179" s="891"/>
      <c r="I2179" s="893"/>
      <c r="J2179" s="894"/>
      <c r="K2179" s="895"/>
      <c r="L2179" s="895"/>
      <c r="M2179" s="895"/>
      <c r="N2179" s="898"/>
      <c r="O2179" s="682"/>
      <c r="U2179" s="596"/>
    </row>
    <row r="2180" spans="1:21" ht="19.149999999999999" customHeight="1">
      <c r="A2180" s="886"/>
      <c r="B2180" s="887"/>
      <c r="C2180" s="888"/>
      <c r="D2180" s="889"/>
      <c r="E2180" s="890"/>
      <c r="F2180" s="891"/>
      <c r="I2180" s="893"/>
      <c r="J2180" s="894"/>
      <c r="K2180" s="895"/>
      <c r="L2180" s="895"/>
      <c r="M2180" s="895"/>
      <c r="N2180" s="898"/>
      <c r="O2180" s="682"/>
      <c r="U2180" s="596"/>
    </row>
    <row r="2181" spans="1:21" ht="19.149999999999999" customHeight="1">
      <c r="A2181" s="886"/>
      <c r="B2181" s="887"/>
      <c r="C2181" s="888"/>
      <c r="D2181" s="889"/>
      <c r="E2181" s="890"/>
      <c r="F2181" s="891"/>
      <c r="I2181" s="893"/>
      <c r="J2181" s="894"/>
      <c r="K2181" s="895"/>
      <c r="L2181" s="895"/>
      <c r="M2181" s="895"/>
      <c r="N2181" s="898"/>
      <c r="O2181" s="682"/>
      <c r="U2181" s="596"/>
    </row>
    <row r="2182" spans="1:21" ht="19.149999999999999" customHeight="1">
      <c r="A2182" s="886"/>
      <c r="B2182" s="887"/>
      <c r="C2182" s="888"/>
      <c r="D2182" s="889"/>
      <c r="E2182" s="890"/>
      <c r="F2182" s="891"/>
      <c r="I2182" s="893"/>
      <c r="J2182" s="894"/>
      <c r="K2182" s="895"/>
      <c r="L2182" s="895"/>
      <c r="M2182" s="895"/>
      <c r="N2182" s="898"/>
      <c r="O2182" s="682"/>
      <c r="U2182" s="596"/>
    </row>
    <row r="2183" spans="1:21" ht="19.149999999999999" customHeight="1">
      <c r="A2183" s="886"/>
      <c r="B2183" s="887"/>
      <c r="C2183" s="888"/>
      <c r="D2183" s="889"/>
      <c r="E2183" s="890"/>
      <c r="F2183" s="891"/>
      <c r="I2183" s="893"/>
      <c r="J2183" s="894"/>
      <c r="K2183" s="895"/>
      <c r="L2183" s="895"/>
      <c r="M2183" s="895"/>
      <c r="N2183" s="898"/>
      <c r="O2183" s="682"/>
      <c r="U2183" s="596"/>
    </row>
    <row r="2184" spans="1:21" ht="19.149999999999999" customHeight="1">
      <c r="A2184" s="886"/>
      <c r="B2184" s="887"/>
      <c r="C2184" s="888"/>
      <c r="D2184" s="889"/>
      <c r="E2184" s="890"/>
      <c r="F2184" s="891"/>
      <c r="I2184" s="893"/>
      <c r="J2184" s="894"/>
      <c r="K2184" s="895"/>
      <c r="L2184" s="895"/>
      <c r="M2184" s="895"/>
      <c r="N2184" s="898"/>
      <c r="O2184" s="682"/>
      <c r="U2184" s="596"/>
    </row>
    <row r="2185" spans="1:21" ht="19.149999999999999" customHeight="1">
      <c r="A2185" s="886"/>
      <c r="B2185" s="887"/>
      <c r="C2185" s="888"/>
      <c r="D2185" s="889"/>
      <c r="E2185" s="890"/>
      <c r="F2185" s="891"/>
      <c r="I2185" s="893"/>
      <c r="J2185" s="894"/>
      <c r="K2185" s="895"/>
      <c r="L2185" s="895"/>
      <c r="M2185" s="895"/>
      <c r="N2185" s="898"/>
      <c r="O2185" s="682"/>
      <c r="U2185" s="596"/>
    </row>
    <row r="2186" spans="1:21" ht="19.149999999999999" customHeight="1">
      <c r="A2186" s="886"/>
      <c r="B2186" s="887"/>
      <c r="C2186" s="888"/>
      <c r="D2186" s="889"/>
      <c r="E2186" s="890"/>
      <c r="F2186" s="891"/>
      <c r="I2186" s="893"/>
      <c r="J2186" s="894"/>
      <c r="K2186" s="895"/>
      <c r="L2186" s="895"/>
      <c r="M2186" s="895"/>
      <c r="N2186" s="898"/>
      <c r="O2186" s="682"/>
      <c r="U2186" s="596"/>
    </row>
    <row r="2187" spans="1:21" ht="19.149999999999999" customHeight="1">
      <c r="A2187" s="886"/>
      <c r="B2187" s="887"/>
      <c r="C2187" s="888"/>
      <c r="D2187" s="889"/>
      <c r="E2187" s="890"/>
      <c r="F2187" s="891"/>
      <c r="I2187" s="893"/>
      <c r="J2187" s="894"/>
      <c r="K2187" s="895"/>
      <c r="L2187" s="895"/>
      <c r="M2187" s="895"/>
      <c r="N2187" s="898"/>
      <c r="O2187" s="682"/>
      <c r="U2187" s="596"/>
    </row>
    <row r="2188" spans="1:21" ht="19.149999999999999" customHeight="1">
      <c r="A2188" s="886"/>
      <c r="B2188" s="887"/>
      <c r="C2188" s="888"/>
      <c r="D2188" s="889"/>
      <c r="E2188" s="890"/>
      <c r="F2188" s="891"/>
      <c r="I2188" s="893"/>
      <c r="J2188" s="894"/>
      <c r="K2188" s="895"/>
      <c r="L2188" s="895"/>
      <c r="M2188" s="895"/>
      <c r="N2188" s="898"/>
      <c r="O2188" s="682"/>
      <c r="U2188" s="596"/>
    </row>
    <row r="2189" spans="1:21" ht="19.149999999999999" customHeight="1">
      <c r="A2189" s="886"/>
      <c r="B2189" s="887"/>
      <c r="C2189" s="888"/>
      <c r="D2189" s="889"/>
      <c r="E2189" s="890"/>
      <c r="F2189" s="891"/>
      <c r="I2189" s="893"/>
      <c r="J2189" s="894"/>
      <c r="K2189" s="895"/>
      <c r="L2189" s="895"/>
      <c r="M2189" s="895"/>
      <c r="N2189" s="898"/>
      <c r="O2189" s="682"/>
      <c r="U2189" s="596"/>
    </row>
    <row r="2190" spans="1:21" ht="19.149999999999999" customHeight="1">
      <c r="A2190" s="886"/>
      <c r="B2190" s="887"/>
      <c r="C2190" s="888"/>
      <c r="D2190" s="889"/>
      <c r="E2190" s="890"/>
      <c r="F2190" s="891"/>
      <c r="I2190" s="893"/>
      <c r="J2190" s="894"/>
      <c r="K2190" s="895"/>
      <c r="L2190" s="895"/>
      <c r="M2190" s="895"/>
      <c r="N2190" s="898"/>
      <c r="O2190" s="682"/>
      <c r="U2190" s="596"/>
    </row>
    <row r="2191" spans="1:21" ht="19.149999999999999" customHeight="1">
      <c r="A2191" s="886"/>
      <c r="B2191" s="887"/>
      <c r="C2191" s="888"/>
      <c r="D2191" s="889"/>
      <c r="E2191" s="890"/>
      <c r="F2191" s="891"/>
      <c r="I2191" s="893"/>
      <c r="J2191" s="894"/>
      <c r="K2191" s="895"/>
      <c r="L2191" s="895"/>
      <c r="M2191" s="895"/>
      <c r="N2191" s="898"/>
      <c r="O2191" s="682"/>
      <c r="U2191" s="596"/>
    </row>
    <row r="2192" spans="1:21" ht="19.149999999999999" customHeight="1">
      <c r="A2192" s="886"/>
      <c r="B2192" s="887"/>
      <c r="C2192" s="888"/>
      <c r="D2192" s="889"/>
      <c r="E2192" s="890"/>
      <c r="F2192" s="891"/>
      <c r="I2192" s="893"/>
      <c r="J2192" s="894"/>
      <c r="K2192" s="895"/>
      <c r="L2192" s="895"/>
      <c r="M2192" s="895"/>
      <c r="N2192" s="898"/>
      <c r="O2192" s="682"/>
      <c r="U2192" s="596"/>
    </row>
    <row r="2193" spans="1:21" ht="19.149999999999999" customHeight="1">
      <c r="A2193" s="886"/>
      <c r="B2193" s="887"/>
      <c r="C2193" s="888"/>
      <c r="D2193" s="889"/>
      <c r="E2193" s="890"/>
      <c r="F2193" s="891"/>
      <c r="I2193" s="893"/>
      <c r="J2193" s="894"/>
      <c r="K2193" s="895"/>
      <c r="L2193" s="895"/>
      <c r="M2193" s="895"/>
      <c r="N2193" s="898"/>
      <c r="O2193" s="682"/>
      <c r="U2193" s="596"/>
    </row>
    <row r="2194" spans="1:21" ht="19.149999999999999" customHeight="1">
      <c r="A2194" s="886"/>
      <c r="B2194" s="887"/>
      <c r="C2194" s="888"/>
      <c r="D2194" s="889"/>
      <c r="E2194" s="890"/>
      <c r="F2194" s="891"/>
      <c r="I2194" s="893"/>
      <c r="J2194" s="894"/>
      <c r="K2194" s="895"/>
      <c r="L2194" s="895"/>
      <c r="M2194" s="895"/>
      <c r="N2194" s="898"/>
      <c r="O2194" s="682"/>
      <c r="U2194" s="596"/>
    </row>
    <row r="2195" spans="1:21" ht="19.149999999999999" customHeight="1">
      <c r="A2195" s="886"/>
      <c r="B2195" s="887"/>
      <c r="C2195" s="888"/>
      <c r="D2195" s="889"/>
      <c r="E2195" s="890"/>
      <c r="F2195" s="891"/>
      <c r="I2195" s="893"/>
      <c r="J2195" s="894"/>
      <c r="K2195" s="895"/>
      <c r="L2195" s="895"/>
      <c r="M2195" s="895"/>
      <c r="N2195" s="898"/>
      <c r="O2195" s="682"/>
      <c r="U2195" s="596"/>
    </row>
    <row r="2196" spans="1:21" ht="19.149999999999999" customHeight="1">
      <c r="A2196" s="886"/>
      <c r="B2196" s="887"/>
      <c r="C2196" s="888"/>
      <c r="D2196" s="889"/>
      <c r="E2196" s="890"/>
      <c r="F2196" s="891"/>
      <c r="I2196" s="893"/>
      <c r="J2196" s="894"/>
      <c r="K2196" s="895"/>
      <c r="L2196" s="895"/>
      <c r="M2196" s="895"/>
      <c r="N2196" s="898"/>
      <c r="O2196" s="682"/>
      <c r="U2196" s="596"/>
    </row>
    <row r="2197" spans="1:21" ht="19.149999999999999" customHeight="1">
      <c r="A2197" s="886"/>
      <c r="B2197" s="887"/>
      <c r="C2197" s="888"/>
      <c r="D2197" s="889"/>
      <c r="E2197" s="890"/>
      <c r="F2197" s="891"/>
      <c r="I2197" s="893"/>
      <c r="J2197" s="894"/>
      <c r="K2197" s="895"/>
      <c r="L2197" s="895"/>
      <c r="M2197" s="895"/>
      <c r="N2197" s="898"/>
      <c r="O2197" s="682"/>
      <c r="U2197" s="596"/>
    </row>
    <row r="2198" spans="1:21" ht="19.149999999999999" customHeight="1">
      <c r="A2198" s="886"/>
      <c r="B2198" s="887"/>
      <c r="C2198" s="888"/>
      <c r="D2198" s="889"/>
      <c r="E2198" s="890"/>
      <c r="F2198" s="891"/>
      <c r="I2198" s="893"/>
      <c r="J2198" s="894"/>
      <c r="K2198" s="895"/>
      <c r="L2198" s="895"/>
      <c r="M2198" s="895"/>
      <c r="N2198" s="898"/>
      <c r="O2198" s="682"/>
      <c r="U2198" s="596"/>
    </row>
    <row r="2199" spans="1:21" ht="19.149999999999999" customHeight="1">
      <c r="A2199" s="886"/>
      <c r="B2199" s="887"/>
      <c r="C2199" s="888"/>
      <c r="D2199" s="889"/>
      <c r="E2199" s="890"/>
      <c r="F2199" s="891"/>
      <c r="I2199" s="893"/>
      <c r="J2199" s="894"/>
      <c r="K2199" s="895"/>
      <c r="L2199" s="895"/>
      <c r="M2199" s="895"/>
      <c r="N2199" s="898"/>
      <c r="O2199" s="682"/>
      <c r="U2199" s="596"/>
    </row>
    <row r="2200" spans="1:21" ht="19.149999999999999" customHeight="1">
      <c r="A2200" s="886"/>
      <c r="B2200" s="887"/>
      <c r="C2200" s="888"/>
      <c r="D2200" s="889"/>
      <c r="E2200" s="890"/>
      <c r="F2200" s="891"/>
      <c r="I2200" s="893"/>
      <c r="J2200" s="894"/>
      <c r="K2200" s="895"/>
      <c r="L2200" s="895"/>
      <c r="M2200" s="895"/>
      <c r="N2200" s="898"/>
      <c r="O2200" s="682"/>
      <c r="U2200" s="596"/>
    </row>
    <row r="2201" spans="1:21" ht="19.149999999999999" customHeight="1">
      <c r="A2201" s="886"/>
      <c r="B2201" s="887"/>
      <c r="C2201" s="888"/>
      <c r="D2201" s="889"/>
      <c r="E2201" s="890"/>
      <c r="F2201" s="891"/>
      <c r="I2201" s="893"/>
      <c r="J2201" s="894"/>
      <c r="K2201" s="895"/>
      <c r="L2201" s="895"/>
      <c r="M2201" s="895"/>
      <c r="N2201" s="898"/>
      <c r="O2201" s="682"/>
      <c r="U2201" s="596"/>
    </row>
    <row r="2202" spans="1:21" ht="19.149999999999999" customHeight="1">
      <c r="A2202" s="886"/>
      <c r="B2202" s="887"/>
      <c r="C2202" s="888"/>
      <c r="D2202" s="889"/>
      <c r="E2202" s="890"/>
      <c r="F2202" s="891"/>
      <c r="I2202" s="893"/>
      <c r="J2202" s="894"/>
      <c r="K2202" s="895"/>
      <c r="L2202" s="895"/>
      <c r="M2202" s="895"/>
      <c r="N2202" s="898"/>
      <c r="O2202" s="682"/>
      <c r="U2202" s="596"/>
    </row>
    <row r="2203" spans="1:21" ht="19.149999999999999" customHeight="1">
      <c r="A2203" s="886"/>
      <c r="B2203" s="887"/>
      <c r="C2203" s="888"/>
      <c r="D2203" s="889"/>
      <c r="E2203" s="890"/>
      <c r="F2203" s="891"/>
      <c r="I2203" s="893"/>
      <c r="J2203" s="894"/>
      <c r="K2203" s="895"/>
      <c r="L2203" s="895"/>
      <c r="M2203" s="895"/>
      <c r="N2203" s="898"/>
      <c r="O2203" s="682"/>
      <c r="U2203" s="596"/>
    </row>
    <row r="2204" spans="1:21" ht="19.149999999999999" customHeight="1">
      <c r="A2204" s="886"/>
      <c r="B2204" s="887"/>
      <c r="C2204" s="888"/>
      <c r="D2204" s="889"/>
      <c r="E2204" s="890"/>
      <c r="F2204" s="891"/>
      <c r="I2204" s="893"/>
      <c r="J2204" s="894"/>
      <c r="K2204" s="895"/>
      <c r="L2204" s="895"/>
      <c r="M2204" s="895"/>
      <c r="N2204" s="898"/>
      <c r="O2204" s="682"/>
      <c r="U2204" s="596"/>
    </row>
    <row r="2205" spans="1:21" ht="19.149999999999999" customHeight="1">
      <c r="A2205" s="886"/>
      <c r="B2205" s="887"/>
      <c r="C2205" s="888"/>
      <c r="D2205" s="889"/>
      <c r="E2205" s="890"/>
      <c r="F2205" s="891"/>
      <c r="I2205" s="893"/>
      <c r="J2205" s="894"/>
      <c r="K2205" s="895"/>
      <c r="L2205" s="895"/>
      <c r="M2205" s="895"/>
      <c r="N2205" s="898"/>
      <c r="O2205" s="682"/>
      <c r="U2205" s="596"/>
    </row>
    <row r="2206" spans="1:21" ht="19.149999999999999" customHeight="1">
      <c r="A2206" s="886"/>
      <c r="B2206" s="887"/>
      <c r="C2206" s="888"/>
      <c r="D2206" s="889"/>
      <c r="E2206" s="890"/>
      <c r="F2206" s="891"/>
      <c r="I2206" s="893"/>
      <c r="J2206" s="894"/>
      <c r="K2206" s="895"/>
      <c r="L2206" s="895"/>
      <c r="M2206" s="895"/>
      <c r="N2206" s="898"/>
      <c r="O2206" s="682"/>
      <c r="U2206" s="596"/>
    </row>
    <row r="2207" spans="1:21" ht="19.149999999999999" customHeight="1">
      <c r="A2207" s="886"/>
      <c r="B2207" s="887"/>
      <c r="C2207" s="888"/>
      <c r="D2207" s="889"/>
      <c r="E2207" s="890"/>
      <c r="F2207" s="891"/>
      <c r="I2207" s="893"/>
      <c r="J2207" s="894"/>
      <c r="K2207" s="895"/>
      <c r="L2207" s="895"/>
      <c r="M2207" s="895"/>
      <c r="N2207" s="898"/>
      <c r="O2207" s="682"/>
      <c r="U2207" s="596"/>
    </row>
    <row r="2208" spans="1:21" ht="19.149999999999999" customHeight="1">
      <c r="A2208" s="886"/>
      <c r="B2208" s="887"/>
      <c r="C2208" s="888"/>
      <c r="D2208" s="889"/>
      <c r="E2208" s="890"/>
      <c r="F2208" s="891"/>
      <c r="I2208" s="893"/>
      <c r="J2208" s="894"/>
      <c r="K2208" s="895"/>
      <c r="L2208" s="895"/>
      <c r="M2208" s="895"/>
      <c r="N2208" s="898"/>
      <c r="O2208" s="682"/>
      <c r="U2208" s="596"/>
    </row>
    <row r="2209" spans="1:21" ht="19.149999999999999" customHeight="1">
      <c r="A2209" s="886"/>
      <c r="B2209" s="887"/>
      <c r="C2209" s="888"/>
      <c r="D2209" s="889"/>
      <c r="E2209" s="890"/>
      <c r="F2209" s="891"/>
      <c r="I2209" s="893"/>
      <c r="J2209" s="894"/>
      <c r="K2209" s="895"/>
      <c r="L2209" s="895"/>
      <c r="M2209" s="895"/>
      <c r="N2209" s="898"/>
      <c r="O2209" s="682"/>
      <c r="U2209" s="596"/>
    </row>
    <row r="2210" spans="1:21" ht="19.149999999999999" customHeight="1">
      <c r="A2210" s="886"/>
      <c r="B2210" s="887"/>
      <c r="C2210" s="888"/>
      <c r="D2210" s="889"/>
      <c r="E2210" s="890"/>
      <c r="F2210" s="891"/>
      <c r="I2210" s="893"/>
      <c r="J2210" s="894"/>
      <c r="K2210" s="895"/>
      <c r="L2210" s="895"/>
      <c r="M2210" s="895"/>
      <c r="N2210" s="898"/>
      <c r="O2210" s="682"/>
      <c r="U2210" s="596"/>
    </row>
    <row r="2211" spans="1:21" ht="19.149999999999999" customHeight="1">
      <c r="A2211" s="886"/>
      <c r="B2211" s="887"/>
      <c r="C2211" s="888"/>
      <c r="D2211" s="889"/>
      <c r="E2211" s="890"/>
      <c r="F2211" s="891"/>
      <c r="I2211" s="893"/>
      <c r="J2211" s="894"/>
      <c r="K2211" s="895"/>
      <c r="L2211" s="895"/>
      <c r="M2211" s="895"/>
      <c r="N2211" s="898"/>
      <c r="O2211" s="682"/>
      <c r="U2211" s="596"/>
    </row>
    <row r="2212" spans="1:21" ht="19.149999999999999" customHeight="1">
      <c r="A2212" s="886"/>
      <c r="B2212" s="887"/>
      <c r="C2212" s="888"/>
      <c r="D2212" s="889"/>
      <c r="E2212" s="890"/>
      <c r="F2212" s="891"/>
      <c r="I2212" s="893"/>
      <c r="J2212" s="894"/>
      <c r="K2212" s="895"/>
      <c r="L2212" s="895"/>
      <c r="M2212" s="895"/>
      <c r="N2212" s="898"/>
      <c r="O2212" s="682"/>
      <c r="U2212" s="596"/>
    </row>
    <row r="2213" spans="1:21" ht="19.149999999999999" customHeight="1">
      <c r="A2213" s="886"/>
      <c r="B2213" s="887"/>
      <c r="C2213" s="888"/>
      <c r="D2213" s="889"/>
      <c r="E2213" s="890"/>
      <c r="F2213" s="891"/>
      <c r="I2213" s="893"/>
      <c r="J2213" s="894"/>
      <c r="K2213" s="895"/>
      <c r="L2213" s="895"/>
      <c r="M2213" s="895"/>
      <c r="N2213" s="898"/>
      <c r="O2213" s="682"/>
      <c r="U2213" s="596"/>
    </row>
    <row r="2214" spans="1:21" ht="19.149999999999999" customHeight="1">
      <c r="A2214" s="886"/>
      <c r="B2214" s="887"/>
      <c r="C2214" s="888"/>
      <c r="D2214" s="889"/>
      <c r="E2214" s="890"/>
      <c r="F2214" s="891"/>
      <c r="I2214" s="893"/>
      <c r="J2214" s="894"/>
      <c r="K2214" s="895"/>
      <c r="L2214" s="895"/>
      <c r="M2214" s="895"/>
      <c r="N2214" s="898"/>
      <c r="O2214" s="682"/>
      <c r="U2214" s="596"/>
    </row>
    <row r="2215" spans="1:21" ht="19.149999999999999" customHeight="1">
      <c r="A2215" s="886"/>
      <c r="B2215" s="887"/>
      <c r="C2215" s="888"/>
      <c r="D2215" s="889"/>
      <c r="E2215" s="890"/>
      <c r="F2215" s="891"/>
      <c r="I2215" s="893"/>
      <c r="J2215" s="894"/>
      <c r="K2215" s="895"/>
      <c r="L2215" s="895"/>
      <c r="M2215" s="895"/>
      <c r="N2215" s="898"/>
      <c r="O2215" s="682"/>
      <c r="U2215" s="596"/>
    </row>
    <row r="2216" spans="1:21" ht="19.149999999999999" customHeight="1">
      <c r="A2216" s="886"/>
      <c r="B2216" s="887"/>
      <c r="C2216" s="888"/>
      <c r="D2216" s="889"/>
      <c r="E2216" s="890"/>
      <c r="F2216" s="891"/>
      <c r="I2216" s="893"/>
      <c r="J2216" s="894"/>
      <c r="K2216" s="895"/>
      <c r="L2216" s="895"/>
      <c r="M2216" s="895"/>
      <c r="N2216" s="898"/>
      <c r="O2216" s="682"/>
      <c r="U2216" s="596"/>
    </row>
    <row r="2217" spans="1:21" ht="19.149999999999999" customHeight="1">
      <c r="A2217" s="886"/>
      <c r="B2217" s="887"/>
      <c r="C2217" s="888"/>
      <c r="D2217" s="889"/>
      <c r="E2217" s="890"/>
      <c r="F2217" s="891"/>
      <c r="I2217" s="893"/>
      <c r="J2217" s="894"/>
      <c r="K2217" s="895"/>
      <c r="L2217" s="895"/>
      <c r="M2217" s="895"/>
      <c r="N2217" s="898"/>
      <c r="O2217" s="682"/>
      <c r="U2217" s="596"/>
    </row>
    <row r="2218" spans="1:21" ht="19.149999999999999" customHeight="1">
      <c r="A2218" s="886"/>
      <c r="B2218" s="887"/>
      <c r="C2218" s="888"/>
      <c r="D2218" s="889"/>
      <c r="E2218" s="890"/>
      <c r="F2218" s="891"/>
      <c r="I2218" s="893"/>
      <c r="J2218" s="894"/>
      <c r="K2218" s="895"/>
      <c r="L2218" s="895"/>
      <c r="M2218" s="895"/>
      <c r="N2218" s="898"/>
      <c r="O2218" s="682"/>
      <c r="U2218" s="596"/>
    </row>
    <row r="2219" spans="1:21" ht="19.149999999999999" customHeight="1">
      <c r="A2219" s="886"/>
      <c r="B2219" s="887"/>
      <c r="C2219" s="888"/>
      <c r="D2219" s="889"/>
      <c r="E2219" s="890"/>
      <c r="F2219" s="891"/>
      <c r="I2219" s="893"/>
      <c r="J2219" s="894"/>
      <c r="K2219" s="895"/>
      <c r="L2219" s="895"/>
      <c r="M2219" s="895"/>
      <c r="N2219" s="898"/>
      <c r="O2219" s="682"/>
      <c r="U2219" s="596"/>
    </row>
    <row r="2220" spans="1:21" ht="19.149999999999999" customHeight="1">
      <c r="A2220" s="886"/>
      <c r="B2220" s="887"/>
      <c r="C2220" s="888"/>
      <c r="D2220" s="889"/>
      <c r="E2220" s="890"/>
      <c r="F2220" s="891"/>
      <c r="I2220" s="893"/>
      <c r="J2220" s="894"/>
      <c r="K2220" s="895"/>
      <c r="L2220" s="895"/>
      <c r="M2220" s="895"/>
      <c r="N2220" s="898"/>
      <c r="O2220" s="682"/>
      <c r="U2220" s="596"/>
    </row>
    <row r="2221" spans="1:21" ht="19.149999999999999" customHeight="1">
      <c r="A2221" s="886"/>
      <c r="B2221" s="887"/>
      <c r="C2221" s="888"/>
      <c r="D2221" s="889"/>
      <c r="E2221" s="890"/>
      <c r="F2221" s="891"/>
      <c r="I2221" s="893"/>
      <c r="J2221" s="894"/>
      <c r="K2221" s="895"/>
      <c r="L2221" s="895"/>
      <c r="M2221" s="895"/>
      <c r="N2221" s="898"/>
      <c r="O2221" s="682"/>
      <c r="U2221" s="596"/>
    </row>
    <row r="2222" spans="1:21" ht="19.149999999999999" customHeight="1">
      <c r="A2222" s="886"/>
      <c r="B2222" s="887"/>
      <c r="C2222" s="888"/>
      <c r="D2222" s="889"/>
      <c r="E2222" s="890"/>
      <c r="F2222" s="891"/>
      <c r="I2222" s="893"/>
      <c r="J2222" s="894"/>
      <c r="K2222" s="895"/>
      <c r="L2222" s="895"/>
      <c r="M2222" s="895"/>
      <c r="N2222" s="898"/>
      <c r="O2222" s="682"/>
      <c r="U2222" s="596"/>
    </row>
    <row r="2223" spans="1:21" ht="19.149999999999999" customHeight="1">
      <c r="A2223" s="886"/>
      <c r="B2223" s="887"/>
      <c r="C2223" s="888"/>
      <c r="D2223" s="889"/>
      <c r="E2223" s="890"/>
      <c r="F2223" s="891"/>
      <c r="I2223" s="893"/>
      <c r="J2223" s="894"/>
      <c r="K2223" s="895"/>
      <c r="L2223" s="895"/>
      <c r="M2223" s="895"/>
      <c r="N2223" s="898"/>
      <c r="O2223" s="682"/>
      <c r="U2223" s="596"/>
    </row>
    <row r="2224" spans="1:21" ht="19.149999999999999" customHeight="1">
      <c r="A2224" s="886"/>
      <c r="B2224" s="887"/>
      <c r="C2224" s="888"/>
      <c r="D2224" s="889"/>
      <c r="E2224" s="890"/>
      <c r="F2224" s="891"/>
      <c r="I2224" s="893"/>
      <c r="J2224" s="894"/>
      <c r="K2224" s="895"/>
      <c r="L2224" s="895"/>
      <c r="M2224" s="895"/>
      <c r="N2224" s="898"/>
      <c r="O2224" s="682"/>
      <c r="U2224" s="596"/>
    </row>
    <row r="2225" spans="1:21" ht="19.149999999999999" customHeight="1">
      <c r="A2225" s="886"/>
      <c r="B2225" s="887"/>
      <c r="C2225" s="888"/>
      <c r="D2225" s="889"/>
      <c r="E2225" s="890"/>
      <c r="F2225" s="891"/>
      <c r="I2225" s="893"/>
      <c r="J2225" s="894"/>
      <c r="K2225" s="895"/>
      <c r="L2225" s="895"/>
      <c r="M2225" s="895"/>
      <c r="N2225" s="898"/>
      <c r="O2225" s="682"/>
      <c r="U2225" s="596"/>
    </row>
    <row r="2226" spans="1:21" ht="19.149999999999999" customHeight="1">
      <c r="A2226" s="886"/>
      <c r="B2226" s="887"/>
      <c r="C2226" s="888"/>
      <c r="D2226" s="889"/>
      <c r="E2226" s="890"/>
      <c r="F2226" s="891"/>
      <c r="I2226" s="893"/>
      <c r="J2226" s="894"/>
      <c r="K2226" s="895"/>
      <c r="L2226" s="895"/>
      <c r="M2226" s="895"/>
      <c r="N2226" s="898"/>
      <c r="O2226" s="682"/>
      <c r="U2226" s="596"/>
    </row>
    <row r="2227" spans="1:21" ht="19.149999999999999" customHeight="1">
      <c r="A2227" s="886"/>
      <c r="B2227" s="887"/>
      <c r="C2227" s="888"/>
      <c r="D2227" s="889"/>
      <c r="E2227" s="890"/>
      <c r="F2227" s="891"/>
      <c r="I2227" s="893"/>
      <c r="J2227" s="894"/>
      <c r="K2227" s="895"/>
      <c r="L2227" s="895"/>
      <c r="M2227" s="895"/>
      <c r="N2227" s="898"/>
      <c r="O2227" s="682"/>
      <c r="U2227" s="596"/>
    </row>
    <row r="2228" spans="1:21" ht="19.149999999999999" customHeight="1">
      <c r="A2228" s="886"/>
      <c r="B2228" s="887"/>
      <c r="C2228" s="888"/>
      <c r="D2228" s="889"/>
      <c r="E2228" s="890"/>
      <c r="F2228" s="891"/>
      <c r="I2228" s="893"/>
      <c r="J2228" s="894"/>
      <c r="K2228" s="895"/>
      <c r="L2228" s="895"/>
      <c r="M2228" s="895"/>
      <c r="N2228" s="898"/>
      <c r="O2228" s="682"/>
      <c r="U2228" s="596"/>
    </row>
    <row r="2229" spans="1:21" ht="19.149999999999999" customHeight="1">
      <c r="A2229" s="886"/>
      <c r="B2229" s="887"/>
      <c r="C2229" s="888"/>
      <c r="D2229" s="889"/>
      <c r="E2229" s="890"/>
      <c r="F2229" s="891"/>
      <c r="I2229" s="893"/>
      <c r="J2229" s="894"/>
      <c r="K2229" s="895"/>
      <c r="L2229" s="895"/>
      <c r="M2229" s="895"/>
      <c r="N2229" s="898"/>
      <c r="O2229" s="682"/>
      <c r="U2229" s="596"/>
    </row>
    <row r="2230" spans="1:21" ht="19.149999999999999" customHeight="1">
      <c r="A2230" s="886"/>
      <c r="B2230" s="887"/>
      <c r="C2230" s="888"/>
      <c r="D2230" s="889"/>
      <c r="E2230" s="890"/>
      <c r="F2230" s="891"/>
      <c r="I2230" s="893"/>
      <c r="J2230" s="894"/>
      <c r="K2230" s="895"/>
      <c r="L2230" s="895"/>
      <c r="M2230" s="895"/>
      <c r="N2230" s="898"/>
      <c r="O2230" s="682"/>
      <c r="U2230" s="596"/>
    </row>
    <row r="2231" spans="1:21" ht="19.149999999999999" customHeight="1">
      <c r="A2231" s="886"/>
      <c r="B2231" s="887"/>
      <c r="C2231" s="888"/>
      <c r="D2231" s="889"/>
      <c r="E2231" s="890"/>
      <c r="F2231" s="891"/>
      <c r="I2231" s="893"/>
      <c r="J2231" s="894"/>
      <c r="K2231" s="895"/>
      <c r="L2231" s="895"/>
      <c r="M2231" s="895"/>
      <c r="N2231" s="898"/>
      <c r="O2231" s="682"/>
      <c r="U2231" s="596"/>
    </row>
    <row r="2232" spans="1:21" ht="19.149999999999999" customHeight="1">
      <c r="A2232" s="886"/>
      <c r="B2232" s="887"/>
      <c r="C2232" s="888"/>
      <c r="D2232" s="889"/>
      <c r="E2232" s="890"/>
      <c r="F2232" s="891"/>
      <c r="I2232" s="893"/>
      <c r="J2232" s="894"/>
      <c r="K2232" s="895"/>
      <c r="L2232" s="895"/>
      <c r="M2232" s="895"/>
      <c r="N2232" s="898"/>
      <c r="O2232" s="682"/>
      <c r="U2232" s="596"/>
    </row>
    <row r="2233" spans="1:21" ht="19.149999999999999" customHeight="1">
      <c r="A2233" s="886"/>
      <c r="B2233" s="887"/>
      <c r="C2233" s="888"/>
      <c r="D2233" s="889"/>
      <c r="E2233" s="890"/>
      <c r="F2233" s="891"/>
      <c r="I2233" s="893"/>
      <c r="J2233" s="894"/>
      <c r="K2233" s="895"/>
      <c r="L2233" s="895"/>
      <c r="M2233" s="895"/>
      <c r="N2233" s="898"/>
      <c r="O2233" s="682"/>
      <c r="U2233" s="596"/>
    </row>
    <row r="2234" spans="1:21" ht="19.149999999999999" customHeight="1">
      <c r="A2234" s="886"/>
      <c r="B2234" s="887"/>
      <c r="C2234" s="888"/>
      <c r="D2234" s="889"/>
      <c r="E2234" s="890"/>
      <c r="F2234" s="891"/>
      <c r="I2234" s="893"/>
      <c r="J2234" s="894"/>
      <c r="K2234" s="895"/>
      <c r="L2234" s="895"/>
      <c r="M2234" s="895"/>
      <c r="N2234" s="898"/>
      <c r="O2234" s="682"/>
      <c r="U2234" s="596"/>
    </row>
    <row r="2235" spans="1:21" ht="19.149999999999999" customHeight="1">
      <c r="A2235" s="886"/>
      <c r="B2235" s="887"/>
      <c r="C2235" s="888"/>
      <c r="D2235" s="889"/>
      <c r="E2235" s="890"/>
      <c r="F2235" s="891"/>
      <c r="I2235" s="893"/>
      <c r="J2235" s="894"/>
      <c r="K2235" s="895"/>
      <c r="L2235" s="895"/>
      <c r="M2235" s="895"/>
      <c r="N2235" s="898"/>
      <c r="O2235" s="682"/>
      <c r="U2235" s="596"/>
    </row>
    <row r="2236" spans="1:21" ht="19.149999999999999" customHeight="1">
      <c r="A2236" s="886"/>
      <c r="B2236" s="887"/>
      <c r="C2236" s="888"/>
      <c r="D2236" s="889"/>
      <c r="E2236" s="890"/>
      <c r="F2236" s="891"/>
      <c r="I2236" s="893"/>
      <c r="J2236" s="894"/>
      <c r="K2236" s="895"/>
      <c r="L2236" s="895"/>
      <c r="M2236" s="895"/>
      <c r="N2236" s="898"/>
      <c r="O2236" s="682"/>
      <c r="U2236" s="596"/>
    </row>
    <row r="2237" spans="1:21" ht="19.149999999999999" customHeight="1">
      <c r="A2237" s="886"/>
      <c r="B2237" s="887"/>
      <c r="C2237" s="888"/>
      <c r="D2237" s="889"/>
      <c r="E2237" s="890"/>
      <c r="F2237" s="891"/>
      <c r="I2237" s="893"/>
      <c r="J2237" s="894"/>
      <c r="K2237" s="895"/>
      <c r="L2237" s="895"/>
      <c r="M2237" s="895"/>
      <c r="N2237" s="898"/>
      <c r="O2237" s="682"/>
      <c r="U2237" s="596"/>
    </row>
    <row r="2238" spans="1:21" ht="19.149999999999999" customHeight="1">
      <c r="A2238" s="886"/>
      <c r="B2238" s="887"/>
      <c r="C2238" s="888"/>
      <c r="D2238" s="889"/>
      <c r="E2238" s="890"/>
      <c r="F2238" s="891"/>
      <c r="I2238" s="893"/>
      <c r="J2238" s="894"/>
      <c r="K2238" s="895"/>
      <c r="L2238" s="895"/>
      <c r="M2238" s="895"/>
      <c r="N2238" s="898"/>
      <c r="O2238" s="682"/>
      <c r="U2238" s="596"/>
    </row>
    <row r="2239" spans="1:21" ht="19.149999999999999" customHeight="1">
      <c r="A2239" s="886"/>
      <c r="B2239" s="887"/>
      <c r="C2239" s="888"/>
      <c r="D2239" s="889"/>
      <c r="E2239" s="890"/>
      <c r="F2239" s="891"/>
      <c r="I2239" s="893"/>
      <c r="J2239" s="894"/>
      <c r="K2239" s="895"/>
      <c r="L2239" s="895"/>
      <c r="M2239" s="895"/>
      <c r="N2239" s="898"/>
      <c r="O2239" s="682"/>
      <c r="U2239" s="596"/>
    </row>
    <row r="2240" spans="1:21" ht="19.149999999999999" customHeight="1">
      <c r="A2240" s="886"/>
      <c r="B2240" s="887"/>
      <c r="C2240" s="888"/>
      <c r="D2240" s="889"/>
      <c r="E2240" s="890"/>
      <c r="F2240" s="891"/>
      <c r="I2240" s="893"/>
      <c r="J2240" s="894"/>
      <c r="K2240" s="895"/>
      <c r="L2240" s="895"/>
      <c r="M2240" s="895"/>
      <c r="N2240" s="898"/>
      <c r="O2240" s="682"/>
      <c r="U2240" s="596"/>
    </row>
    <row r="2241" spans="1:21" ht="19.149999999999999" customHeight="1">
      <c r="A2241" s="886"/>
      <c r="B2241" s="887"/>
      <c r="C2241" s="888"/>
      <c r="D2241" s="889"/>
      <c r="E2241" s="890"/>
      <c r="F2241" s="891"/>
      <c r="I2241" s="893"/>
      <c r="J2241" s="894"/>
      <c r="K2241" s="895"/>
      <c r="L2241" s="895"/>
      <c r="M2241" s="895"/>
      <c r="N2241" s="898"/>
      <c r="O2241" s="682"/>
      <c r="U2241" s="596"/>
    </row>
    <row r="2242" spans="1:21" ht="19.149999999999999" customHeight="1">
      <c r="A2242" s="886"/>
      <c r="B2242" s="887"/>
      <c r="C2242" s="888"/>
      <c r="D2242" s="889"/>
      <c r="E2242" s="890"/>
      <c r="F2242" s="891"/>
      <c r="I2242" s="893"/>
      <c r="J2242" s="894"/>
      <c r="K2242" s="895"/>
      <c r="L2242" s="895"/>
      <c r="M2242" s="895"/>
      <c r="N2242" s="898"/>
      <c r="O2242" s="682"/>
      <c r="U2242" s="596"/>
    </row>
    <row r="2243" spans="1:21" ht="19.149999999999999" customHeight="1">
      <c r="A2243" s="886"/>
      <c r="B2243" s="887"/>
      <c r="C2243" s="888"/>
      <c r="D2243" s="889"/>
      <c r="E2243" s="890"/>
      <c r="F2243" s="891"/>
      <c r="I2243" s="893"/>
      <c r="J2243" s="894"/>
      <c r="K2243" s="895"/>
      <c r="L2243" s="895"/>
      <c r="M2243" s="895"/>
      <c r="N2243" s="898"/>
      <c r="O2243" s="682"/>
      <c r="U2243" s="596"/>
    </row>
    <row r="2244" spans="1:21" ht="19.149999999999999" customHeight="1">
      <c r="A2244" s="886"/>
      <c r="B2244" s="887"/>
      <c r="C2244" s="888"/>
      <c r="D2244" s="889"/>
      <c r="E2244" s="890"/>
      <c r="F2244" s="891"/>
      <c r="I2244" s="893"/>
      <c r="J2244" s="894"/>
      <c r="K2244" s="895"/>
      <c r="L2244" s="895"/>
      <c r="M2244" s="895"/>
      <c r="N2244" s="898"/>
      <c r="O2244" s="682"/>
      <c r="U2244" s="596"/>
    </row>
    <row r="2245" spans="1:21" ht="19.149999999999999" customHeight="1">
      <c r="A2245" s="886"/>
      <c r="B2245" s="887"/>
      <c r="C2245" s="888"/>
      <c r="D2245" s="889"/>
      <c r="E2245" s="890"/>
      <c r="F2245" s="891"/>
      <c r="I2245" s="893"/>
      <c r="J2245" s="894"/>
      <c r="K2245" s="895"/>
      <c r="L2245" s="895"/>
      <c r="M2245" s="895"/>
      <c r="N2245" s="898"/>
      <c r="O2245" s="682"/>
      <c r="U2245" s="596"/>
    </row>
    <row r="2246" spans="1:21" ht="19.149999999999999" customHeight="1">
      <c r="A2246" s="886"/>
      <c r="B2246" s="887"/>
      <c r="C2246" s="888"/>
      <c r="D2246" s="889"/>
      <c r="E2246" s="890"/>
      <c r="F2246" s="891"/>
      <c r="I2246" s="893"/>
      <c r="J2246" s="894"/>
      <c r="K2246" s="895"/>
      <c r="L2246" s="895"/>
      <c r="M2246" s="895"/>
      <c r="N2246" s="898"/>
      <c r="O2246" s="682"/>
      <c r="U2246" s="596"/>
    </row>
    <row r="2247" spans="1:21" ht="19.149999999999999" customHeight="1">
      <c r="A2247" s="886"/>
      <c r="B2247" s="887"/>
      <c r="C2247" s="888"/>
      <c r="D2247" s="889"/>
      <c r="E2247" s="890"/>
      <c r="F2247" s="891"/>
      <c r="I2247" s="893"/>
      <c r="J2247" s="894"/>
      <c r="K2247" s="895"/>
      <c r="L2247" s="895"/>
      <c r="M2247" s="895"/>
      <c r="N2247" s="898"/>
      <c r="O2247" s="682"/>
      <c r="U2247" s="596"/>
    </row>
    <row r="2248" spans="1:21" ht="19.149999999999999" customHeight="1">
      <c r="A2248" s="886"/>
      <c r="B2248" s="887"/>
      <c r="C2248" s="888"/>
      <c r="D2248" s="889"/>
      <c r="E2248" s="890"/>
      <c r="F2248" s="891"/>
      <c r="I2248" s="893"/>
      <c r="J2248" s="894"/>
      <c r="K2248" s="895"/>
      <c r="L2248" s="895"/>
      <c r="M2248" s="895"/>
      <c r="N2248" s="898"/>
      <c r="O2248" s="682"/>
      <c r="U2248" s="596"/>
    </row>
    <row r="2249" spans="1:21" ht="19.149999999999999" customHeight="1">
      <c r="A2249" s="886"/>
      <c r="B2249" s="887"/>
      <c r="C2249" s="888"/>
      <c r="D2249" s="889"/>
      <c r="E2249" s="890"/>
      <c r="F2249" s="891"/>
      <c r="I2249" s="893"/>
      <c r="J2249" s="894"/>
      <c r="K2249" s="895"/>
      <c r="L2249" s="895"/>
      <c r="M2249" s="895"/>
      <c r="N2249" s="898"/>
      <c r="O2249" s="682"/>
      <c r="U2249" s="596"/>
    </row>
    <row r="2250" spans="1:21" ht="19.149999999999999" customHeight="1">
      <c r="A2250" s="886"/>
      <c r="B2250" s="887"/>
      <c r="C2250" s="888"/>
      <c r="D2250" s="889"/>
      <c r="E2250" s="890"/>
      <c r="F2250" s="891"/>
      <c r="I2250" s="893"/>
      <c r="J2250" s="894"/>
      <c r="K2250" s="895"/>
      <c r="L2250" s="895"/>
      <c r="M2250" s="895"/>
      <c r="N2250" s="898"/>
      <c r="O2250" s="682"/>
      <c r="U2250" s="596"/>
    </row>
    <row r="2251" spans="1:21" ht="19.149999999999999" customHeight="1">
      <c r="A2251" s="886"/>
      <c r="B2251" s="887"/>
      <c r="C2251" s="888"/>
      <c r="D2251" s="889"/>
      <c r="E2251" s="890"/>
      <c r="F2251" s="891"/>
      <c r="I2251" s="893"/>
      <c r="J2251" s="894"/>
      <c r="K2251" s="895"/>
      <c r="L2251" s="895"/>
      <c r="M2251" s="895"/>
      <c r="N2251" s="898"/>
      <c r="O2251" s="682"/>
      <c r="U2251" s="596"/>
    </row>
    <row r="2252" spans="1:21" ht="19.149999999999999" customHeight="1">
      <c r="A2252" s="886"/>
      <c r="B2252" s="887"/>
      <c r="C2252" s="888"/>
      <c r="D2252" s="889"/>
      <c r="E2252" s="890"/>
      <c r="F2252" s="891"/>
      <c r="I2252" s="893"/>
      <c r="J2252" s="894"/>
      <c r="K2252" s="895"/>
      <c r="L2252" s="895"/>
      <c r="M2252" s="895"/>
      <c r="N2252" s="898"/>
      <c r="O2252" s="682"/>
      <c r="U2252" s="596"/>
    </row>
    <row r="2253" spans="1:21" ht="19.149999999999999" customHeight="1">
      <c r="A2253" s="886"/>
      <c r="B2253" s="887"/>
      <c r="C2253" s="888"/>
      <c r="D2253" s="889"/>
      <c r="E2253" s="890"/>
      <c r="F2253" s="891"/>
      <c r="I2253" s="893"/>
      <c r="J2253" s="894"/>
      <c r="K2253" s="895"/>
      <c r="L2253" s="895"/>
      <c r="M2253" s="895"/>
      <c r="N2253" s="898"/>
      <c r="O2253" s="682"/>
      <c r="U2253" s="596"/>
    </row>
    <row r="2254" spans="1:21" ht="19.149999999999999" customHeight="1">
      <c r="A2254" s="886"/>
      <c r="B2254" s="887"/>
      <c r="C2254" s="888"/>
      <c r="D2254" s="889"/>
      <c r="E2254" s="890"/>
      <c r="F2254" s="891"/>
      <c r="I2254" s="893"/>
      <c r="J2254" s="894"/>
      <c r="K2254" s="895"/>
      <c r="L2254" s="895"/>
      <c r="M2254" s="895"/>
      <c r="N2254" s="898"/>
      <c r="O2254" s="682"/>
      <c r="U2254" s="596"/>
    </row>
    <row r="2255" spans="1:21" ht="19.149999999999999" customHeight="1">
      <c r="A2255" s="886"/>
      <c r="B2255" s="887"/>
      <c r="C2255" s="888"/>
      <c r="D2255" s="889"/>
      <c r="E2255" s="890"/>
      <c r="F2255" s="891"/>
      <c r="I2255" s="893"/>
      <c r="J2255" s="894"/>
      <c r="K2255" s="895"/>
      <c r="L2255" s="895"/>
      <c r="M2255" s="895"/>
      <c r="N2255" s="898"/>
      <c r="O2255" s="682"/>
      <c r="U2255" s="596"/>
    </row>
    <row r="2256" spans="1:21" ht="19.149999999999999" customHeight="1">
      <c r="A2256" s="886"/>
      <c r="B2256" s="887"/>
      <c r="C2256" s="888"/>
      <c r="D2256" s="889"/>
      <c r="E2256" s="890"/>
      <c r="F2256" s="891"/>
      <c r="I2256" s="893"/>
      <c r="J2256" s="894"/>
      <c r="K2256" s="895"/>
      <c r="L2256" s="895"/>
      <c r="M2256" s="895"/>
      <c r="N2256" s="898"/>
      <c r="O2256" s="682"/>
      <c r="U2256" s="596"/>
    </row>
    <row r="2257" spans="1:21" ht="19.149999999999999" customHeight="1">
      <c r="A2257" s="886"/>
      <c r="B2257" s="887"/>
      <c r="C2257" s="888"/>
      <c r="D2257" s="889"/>
      <c r="E2257" s="890"/>
      <c r="F2257" s="891"/>
      <c r="I2257" s="893"/>
      <c r="J2257" s="894"/>
      <c r="K2257" s="895"/>
      <c r="L2257" s="895"/>
      <c r="M2257" s="895"/>
      <c r="N2257" s="898"/>
      <c r="O2257" s="682"/>
      <c r="U2257" s="596"/>
    </row>
    <row r="2258" spans="1:21" ht="19.149999999999999" customHeight="1">
      <c r="A2258" s="886"/>
      <c r="B2258" s="887"/>
      <c r="C2258" s="888"/>
      <c r="D2258" s="889"/>
      <c r="E2258" s="890"/>
      <c r="F2258" s="891"/>
      <c r="I2258" s="893"/>
      <c r="J2258" s="894"/>
      <c r="K2258" s="895"/>
      <c r="L2258" s="895"/>
      <c r="M2258" s="895"/>
      <c r="N2258" s="898"/>
      <c r="O2258" s="682"/>
      <c r="U2258" s="596"/>
    </row>
    <row r="2259" spans="1:21" ht="19.149999999999999" customHeight="1">
      <c r="A2259" s="886"/>
      <c r="B2259" s="887"/>
      <c r="C2259" s="888"/>
      <c r="D2259" s="889"/>
      <c r="E2259" s="890"/>
      <c r="F2259" s="891"/>
      <c r="I2259" s="893"/>
      <c r="J2259" s="894"/>
      <c r="K2259" s="895"/>
      <c r="L2259" s="895"/>
      <c r="M2259" s="895"/>
      <c r="N2259" s="898"/>
      <c r="O2259" s="682"/>
      <c r="U2259" s="596"/>
    </row>
    <row r="2260" spans="1:21" ht="19.149999999999999" customHeight="1">
      <c r="A2260" s="886"/>
      <c r="B2260" s="887"/>
      <c r="C2260" s="888"/>
      <c r="D2260" s="889"/>
      <c r="E2260" s="890"/>
      <c r="F2260" s="891"/>
      <c r="I2260" s="893"/>
      <c r="J2260" s="894"/>
      <c r="K2260" s="895"/>
      <c r="L2260" s="895"/>
      <c r="M2260" s="895"/>
      <c r="N2260" s="898"/>
      <c r="O2260" s="682"/>
      <c r="U2260" s="596"/>
    </row>
    <row r="2261" spans="1:21" ht="19.149999999999999" customHeight="1">
      <c r="A2261" s="886"/>
      <c r="B2261" s="887"/>
      <c r="C2261" s="888"/>
      <c r="D2261" s="889"/>
      <c r="E2261" s="890"/>
      <c r="F2261" s="891"/>
      <c r="I2261" s="893"/>
      <c r="J2261" s="894"/>
      <c r="K2261" s="895"/>
      <c r="L2261" s="895"/>
      <c r="M2261" s="895"/>
      <c r="N2261" s="898"/>
      <c r="O2261" s="682"/>
      <c r="U2261" s="596"/>
    </row>
    <row r="2262" spans="1:21" ht="19.149999999999999" customHeight="1">
      <c r="A2262" s="886"/>
      <c r="B2262" s="887"/>
      <c r="C2262" s="888"/>
      <c r="D2262" s="889"/>
      <c r="E2262" s="890"/>
      <c r="F2262" s="891"/>
      <c r="I2262" s="893"/>
      <c r="J2262" s="894"/>
      <c r="K2262" s="895"/>
      <c r="L2262" s="895"/>
      <c r="M2262" s="895"/>
      <c r="N2262" s="898"/>
      <c r="O2262" s="682"/>
      <c r="U2262" s="596"/>
    </row>
    <row r="2263" spans="1:21" ht="19.149999999999999" customHeight="1">
      <c r="A2263" s="886"/>
      <c r="B2263" s="887"/>
      <c r="C2263" s="888"/>
      <c r="D2263" s="889"/>
      <c r="E2263" s="890"/>
      <c r="F2263" s="891"/>
      <c r="I2263" s="893"/>
      <c r="J2263" s="894"/>
      <c r="K2263" s="895"/>
      <c r="L2263" s="895"/>
      <c r="M2263" s="895"/>
      <c r="N2263" s="898"/>
      <c r="O2263" s="682"/>
      <c r="U2263" s="596"/>
    </row>
    <row r="2264" spans="1:21" ht="19.149999999999999" customHeight="1">
      <c r="A2264" s="886"/>
      <c r="B2264" s="887"/>
      <c r="C2264" s="888"/>
      <c r="D2264" s="889"/>
      <c r="E2264" s="890"/>
      <c r="F2264" s="891"/>
      <c r="I2264" s="893"/>
      <c r="J2264" s="894"/>
      <c r="K2264" s="895"/>
      <c r="L2264" s="895"/>
      <c r="M2264" s="895"/>
      <c r="N2264" s="898"/>
      <c r="O2264" s="682"/>
      <c r="U2264" s="596"/>
    </row>
    <row r="2265" spans="1:21" ht="19.149999999999999" customHeight="1">
      <c r="A2265" s="886"/>
      <c r="B2265" s="887"/>
      <c r="C2265" s="888"/>
      <c r="D2265" s="889"/>
      <c r="E2265" s="890"/>
      <c r="F2265" s="891"/>
      <c r="I2265" s="893"/>
      <c r="J2265" s="894"/>
      <c r="K2265" s="895"/>
      <c r="L2265" s="895"/>
      <c r="M2265" s="895"/>
      <c r="N2265" s="898"/>
      <c r="O2265" s="682"/>
      <c r="U2265" s="596"/>
    </row>
    <row r="2266" spans="1:21" ht="19.149999999999999" customHeight="1">
      <c r="A2266" s="886"/>
      <c r="B2266" s="887"/>
      <c r="C2266" s="888"/>
      <c r="D2266" s="889"/>
      <c r="E2266" s="890"/>
      <c r="F2266" s="891"/>
      <c r="I2266" s="893"/>
      <c r="J2266" s="894"/>
      <c r="K2266" s="895"/>
      <c r="L2266" s="895"/>
      <c r="M2266" s="895"/>
      <c r="N2266" s="898"/>
      <c r="O2266" s="682"/>
      <c r="U2266" s="596"/>
    </row>
    <row r="2267" spans="1:21" ht="19.149999999999999" customHeight="1">
      <c r="A2267" s="886"/>
      <c r="B2267" s="887"/>
      <c r="C2267" s="888"/>
      <c r="D2267" s="889"/>
      <c r="E2267" s="890"/>
      <c r="F2267" s="891"/>
      <c r="I2267" s="893"/>
      <c r="J2267" s="894"/>
      <c r="K2267" s="895"/>
      <c r="L2267" s="895"/>
      <c r="M2267" s="895"/>
      <c r="N2267" s="898"/>
      <c r="O2267" s="682"/>
      <c r="U2267" s="596"/>
    </row>
    <row r="2268" spans="1:21" ht="19.149999999999999" customHeight="1">
      <c r="A2268" s="886"/>
      <c r="B2268" s="887"/>
      <c r="C2268" s="888"/>
      <c r="D2268" s="889"/>
      <c r="E2268" s="890"/>
      <c r="F2268" s="891"/>
      <c r="I2268" s="893"/>
      <c r="J2268" s="894"/>
      <c r="K2268" s="895"/>
      <c r="L2268" s="895"/>
      <c r="M2268" s="895"/>
      <c r="N2268" s="898"/>
      <c r="O2268" s="682"/>
      <c r="U2268" s="596"/>
    </row>
    <row r="2269" spans="1:21" ht="19.149999999999999" customHeight="1">
      <c r="A2269" s="886"/>
      <c r="B2269" s="887"/>
      <c r="C2269" s="888"/>
      <c r="D2269" s="889"/>
      <c r="E2269" s="890"/>
      <c r="F2269" s="891"/>
      <c r="I2269" s="893"/>
      <c r="J2269" s="894"/>
      <c r="K2269" s="895"/>
      <c r="L2269" s="895"/>
      <c r="M2269" s="895"/>
      <c r="N2269" s="898"/>
      <c r="O2269" s="682"/>
      <c r="U2269" s="596"/>
    </row>
    <row r="2270" spans="1:21" ht="19.149999999999999" customHeight="1">
      <c r="A2270" s="886"/>
      <c r="B2270" s="887"/>
      <c r="C2270" s="888"/>
      <c r="D2270" s="889"/>
      <c r="E2270" s="890"/>
      <c r="F2270" s="891"/>
      <c r="I2270" s="893"/>
      <c r="J2270" s="894"/>
      <c r="K2270" s="895"/>
      <c r="L2270" s="895"/>
      <c r="M2270" s="895"/>
      <c r="N2270" s="898"/>
      <c r="O2270" s="682"/>
      <c r="U2270" s="596"/>
    </row>
    <row r="2271" spans="1:21" ht="19.149999999999999" customHeight="1">
      <c r="A2271" s="886"/>
      <c r="B2271" s="887"/>
      <c r="C2271" s="888"/>
      <c r="D2271" s="889"/>
      <c r="E2271" s="890"/>
      <c r="F2271" s="891"/>
      <c r="I2271" s="893"/>
      <c r="J2271" s="894"/>
      <c r="K2271" s="895"/>
      <c r="L2271" s="895"/>
      <c r="M2271" s="895"/>
      <c r="N2271" s="898"/>
      <c r="O2271" s="682"/>
      <c r="U2271" s="596"/>
    </row>
    <row r="2272" spans="1:21" ht="19.149999999999999" customHeight="1">
      <c r="A2272" s="886"/>
      <c r="B2272" s="887"/>
      <c r="C2272" s="888"/>
      <c r="D2272" s="889"/>
      <c r="E2272" s="890"/>
      <c r="F2272" s="891"/>
      <c r="I2272" s="893"/>
      <c r="J2272" s="894"/>
      <c r="K2272" s="895"/>
      <c r="L2272" s="895"/>
      <c r="M2272" s="895"/>
      <c r="N2272" s="898"/>
      <c r="O2272" s="682"/>
      <c r="U2272" s="596"/>
    </row>
    <row r="2273" spans="1:21" ht="19.149999999999999" customHeight="1">
      <c r="A2273" s="886"/>
      <c r="B2273" s="887"/>
      <c r="C2273" s="888"/>
      <c r="D2273" s="889"/>
      <c r="E2273" s="890"/>
      <c r="F2273" s="891"/>
      <c r="I2273" s="893"/>
      <c r="J2273" s="894"/>
      <c r="K2273" s="895"/>
      <c r="L2273" s="895"/>
      <c r="M2273" s="895"/>
      <c r="N2273" s="898"/>
      <c r="O2273" s="682"/>
      <c r="U2273" s="596"/>
    </row>
    <row r="2274" spans="1:21" ht="19.149999999999999" customHeight="1">
      <c r="A2274" s="886"/>
      <c r="B2274" s="887"/>
      <c r="C2274" s="888"/>
      <c r="D2274" s="889"/>
      <c r="E2274" s="890"/>
      <c r="F2274" s="891"/>
      <c r="I2274" s="893"/>
      <c r="J2274" s="894"/>
      <c r="K2274" s="895"/>
      <c r="L2274" s="895"/>
      <c r="M2274" s="895"/>
      <c r="N2274" s="898"/>
      <c r="O2274" s="682"/>
      <c r="U2274" s="596"/>
    </row>
    <row r="2275" spans="1:21" ht="19.149999999999999" customHeight="1">
      <c r="A2275" s="886"/>
      <c r="B2275" s="887"/>
      <c r="C2275" s="888"/>
      <c r="D2275" s="889"/>
      <c r="E2275" s="890"/>
      <c r="F2275" s="891"/>
      <c r="I2275" s="893"/>
      <c r="J2275" s="894"/>
      <c r="K2275" s="895"/>
      <c r="L2275" s="895"/>
      <c r="M2275" s="895"/>
      <c r="N2275" s="898"/>
      <c r="O2275" s="682"/>
      <c r="U2275" s="596"/>
    </row>
    <row r="2276" spans="1:21" ht="19.149999999999999" customHeight="1">
      <c r="A2276" s="886"/>
      <c r="B2276" s="887"/>
      <c r="C2276" s="888"/>
      <c r="D2276" s="889"/>
      <c r="E2276" s="890"/>
      <c r="F2276" s="891"/>
      <c r="I2276" s="893"/>
      <c r="J2276" s="894"/>
      <c r="K2276" s="895"/>
      <c r="L2276" s="895"/>
      <c r="M2276" s="895"/>
      <c r="N2276" s="898"/>
      <c r="O2276" s="682"/>
      <c r="U2276" s="596"/>
    </row>
    <row r="2277" spans="1:21" ht="19.149999999999999" customHeight="1">
      <c r="A2277" s="886"/>
      <c r="B2277" s="887"/>
      <c r="C2277" s="888"/>
      <c r="D2277" s="889"/>
      <c r="E2277" s="890"/>
      <c r="F2277" s="891"/>
      <c r="I2277" s="893"/>
      <c r="J2277" s="894"/>
      <c r="K2277" s="895"/>
      <c r="L2277" s="895"/>
      <c r="M2277" s="895"/>
      <c r="N2277" s="898"/>
      <c r="O2277" s="682"/>
      <c r="U2277" s="596"/>
    </row>
    <row r="2278" spans="1:21" ht="19.149999999999999" customHeight="1">
      <c r="A2278" s="886"/>
      <c r="B2278" s="887"/>
      <c r="C2278" s="888"/>
      <c r="D2278" s="889"/>
      <c r="E2278" s="890"/>
      <c r="F2278" s="891"/>
      <c r="I2278" s="893"/>
      <c r="J2278" s="894"/>
      <c r="K2278" s="895"/>
      <c r="L2278" s="895"/>
      <c r="M2278" s="895"/>
      <c r="N2278" s="898"/>
      <c r="O2278" s="682"/>
      <c r="U2278" s="596"/>
    </row>
    <row r="2279" spans="1:21" ht="19.149999999999999" customHeight="1">
      <c r="A2279" s="886"/>
      <c r="B2279" s="887"/>
      <c r="C2279" s="888"/>
      <c r="D2279" s="889"/>
      <c r="E2279" s="890"/>
      <c r="F2279" s="891"/>
      <c r="I2279" s="893"/>
      <c r="J2279" s="894"/>
      <c r="K2279" s="895"/>
      <c r="L2279" s="895"/>
      <c r="M2279" s="895"/>
      <c r="N2279" s="898"/>
      <c r="O2279" s="682"/>
      <c r="U2279" s="596"/>
    </row>
    <row r="2280" spans="1:21" ht="19.149999999999999" customHeight="1">
      <c r="A2280" s="886"/>
      <c r="B2280" s="887"/>
      <c r="C2280" s="888"/>
      <c r="D2280" s="889"/>
      <c r="E2280" s="890"/>
      <c r="F2280" s="891"/>
      <c r="I2280" s="893"/>
      <c r="J2280" s="894"/>
      <c r="K2280" s="895"/>
      <c r="L2280" s="895"/>
      <c r="M2280" s="895"/>
      <c r="N2280" s="898"/>
      <c r="O2280" s="682"/>
      <c r="U2280" s="596"/>
    </row>
    <row r="2281" spans="1:21" ht="19.149999999999999" customHeight="1">
      <c r="A2281" s="886"/>
      <c r="B2281" s="887"/>
      <c r="C2281" s="888"/>
      <c r="D2281" s="889"/>
      <c r="E2281" s="890"/>
      <c r="F2281" s="891"/>
      <c r="I2281" s="893"/>
      <c r="J2281" s="894"/>
      <c r="K2281" s="895"/>
      <c r="L2281" s="895"/>
      <c r="M2281" s="895"/>
      <c r="N2281" s="898"/>
      <c r="O2281" s="682"/>
      <c r="U2281" s="596"/>
    </row>
    <row r="2282" spans="1:21" ht="19.149999999999999" customHeight="1">
      <c r="A2282" s="886"/>
      <c r="B2282" s="887"/>
      <c r="C2282" s="888"/>
      <c r="D2282" s="889"/>
      <c r="E2282" s="890"/>
      <c r="F2282" s="891"/>
      <c r="I2282" s="893"/>
      <c r="J2282" s="894"/>
      <c r="K2282" s="895"/>
      <c r="L2282" s="895"/>
      <c r="M2282" s="895"/>
      <c r="N2282" s="898"/>
      <c r="O2282" s="682"/>
      <c r="U2282" s="596"/>
    </row>
    <row r="2283" spans="1:21" ht="19.149999999999999" customHeight="1">
      <c r="A2283" s="886"/>
      <c r="B2283" s="887"/>
      <c r="C2283" s="888"/>
      <c r="D2283" s="889"/>
      <c r="E2283" s="890"/>
      <c r="F2283" s="891"/>
      <c r="I2283" s="893"/>
      <c r="J2283" s="894"/>
      <c r="K2283" s="895"/>
      <c r="L2283" s="895"/>
      <c r="M2283" s="895"/>
      <c r="N2283" s="898"/>
      <c r="O2283" s="682"/>
      <c r="U2283" s="596"/>
    </row>
    <row r="2284" spans="1:21" ht="19.149999999999999" customHeight="1">
      <c r="A2284" s="886"/>
      <c r="B2284" s="887"/>
      <c r="C2284" s="888"/>
      <c r="D2284" s="889"/>
      <c r="E2284" s="890"/>
      <c r="F2284" s="891"/>
      <c r="I2284" s="893"/>
      <c r="J2284" s="894"/>
      <c r="K2284" s="895"/>
      <c r="L2284" s="895"/>
      <c r="M2284" s="895"/>
      <c r="N2284" s="898"/>
      <c r="O2284" s="682"/>
      <c r="U2284" s="596"/>
    </row>
    <row r="2285" spans="1:21" ht="19.149999999999999" customHeight="1">
      <c r="A2285" s="886"/>
      <c r="B2285" s="887"/>
      <c r="C2285" s="888"/>
      <c r="D2285" s="889"/>
      <c r="E2285" s="890"/>
      <c r="F2285" s="891"/>
      <c r="I2285" s="893"/>
      <c r="J2285" s="894"/>
      <c r="K2285" s="895"/>
      <c r="L2285" s="895"/>
      <c r="M2285" s="895"/>
      <c r="N2285" s="898"/>
      <c r="O2285" s="682"/>
      <c r="U2285" s="596"/>
    </row>
    <row r="2286" spans="1:21" ht="19.149999999999999" customHeight="1">
      <c r="A2286" s="886"/>
      <c r="B2286" s="887"/>
      <c r="C2286" s="888"/>
      <c r="D2286" s="889"/>
      <c r="E2286" s="890"/>
      <c r="F2286" s="891"/>
      <c r="I2286" s="893"/>
      <c r="J2286" s="894"/>
      <c r="K2286" s="895"/>
      <c r="L2286" s="895"/>
      <c r="M2286" s="895"/>
      <c r="N2286" s="898"/>
      <c r="O2286" s="682"/>
      <c r="U2286" s="596"/>
    </row>
    <row r="2287" spans="1:21" ht="19.149999999999999" customHeight="1">
      <c r="A2287" s="886"/>
      <c r="B2287" s="887"/>
      <c r="C2287" s="888"/>
      <c r="D2287" s="889"/>
      <c r="E2287" s="890"/>
      <c r="F2287" s="891"/>
      <c r="I2287" s="893"/>
      <c r="J2287" s="894"/>
      <c r="K2287" s="895"/>
      <c r="L2287" s="895"/>
      <c r="M2287" s="895"/>
      <c r="N2287" s="898"/>
      <c r="O2287" s="682"/>
      <c r="U2287" s="596"/>
    </row>
    <row r="2288" spans="1:21" ht="19.149999999999999" customHeight="1">
      <c r="A2288" s="886"/>
      <c r="B2288" s="887"/>
      <c r="C2288" s="888"/>
      <c r="D2288" s="889"/>
      <c r="E2288" s="890"/>
      <c r="F2288" s="891"/>
      <c r="I2288" s="893"/>
      <c r="J2288" s="894"/>
      <c r="K2288" s="895"/>
      <c r="L2288" s="895"/>
      <c r="M2288" s="895"/>
      <c r="N2288" s="898"/>
      <c r="O2288" s="682"/>
      <c r="U2288" s="596"/>
    </row>
    <row r="2289" spans="1:21" ht="19.149999999999999" customHeight="1">
      <c r="A2289" s="886"/>
      <c r="B2289" s="887"/>
      <c r="C2289" s="888"/>
      <c r="D2289" s="889"/>
      <c r="E2289" s="890"/>
      <c r="F2289" s="891"/>
      <c r="I2289" s="893"/>
      <c r="J2289" s="894"/>
      <c r="K2289" s="895"/>
      <c r="L2289" s="895"/>
      <c r="M2289" s="895"/>
      <c r="N2289" s="898"/>
      <c r="O2289" s="682"/>
      <c r="U2289" s="596"/>
    </row>
    <row r="2290" spans="1:21" ht="19.149999999999999" customHeight="1">
      <c r="A2290" s="886"/>
      <c r="B2290" s="887"/>
      <c r="C2290" s="888"/>
      <c r="D2290" s="889"/>
      <c r="E2290" s="890"/>
      <c r="F2290" s="891"/>
      <c r="I2290" s="893"/>
      <c r="J2290" s="894"/>
      <c r="K2290" s="895"/>
      <c r="L2290" s="895"/>
      <c r="M2290" s="895"/>
      <c r="N2290" s="898"/>
      <c r="O2290" s="682"/>
      <c r="U2290" s="596"/>
    </row>
    <row r="2291" spans="1:21" ht="19.149999999999999" customHeight="1">
      <c r="A2291" s="886"/>
      <c r="B2291" s="887"/>
      <c r="C2291" s="888"/>
      <c r="D2291" s="889"/>
      <c r="E2291" s="890"/>
      <c r="F2291" s="891"/>
      <c r="I2291" s="893"/>
      <c r="J2291" s="894"/>
      <c r="K2291" s="895"/>
      <c r="L2291" s="895"/>
      <c r="M2291" s="895"/>
      <c r="N2291" s="898"/>
      <c r="O2291" s="682"/>
      <c r="U2291" s="596"/>
    </row>
    <row r="2292" spans="1:21" ht="19.149999999999999" customHeight="1">
      <c r="A2292" s="886"/>
      <c r="B2292" s="887"/>
      <c r="C2292" s="888"/>
      <c r="D2292" s="889"/>
      <c r="E2292" s="890"/>
      <c r="F2292" s="891"/>
      <c r="I2292" s="893"/>
      <c r="J2292" s="894"/>
      <c r="K2292" s="895"/>
      <c r="L2292" s="895"/>
      <c r="M2292" s="895"/>
      <c r="N2292" s="898"/>
      <c r="O2292" s="682"/>
      <c r="U2292" s="596"/>
    </row>
    <row r="2293" spans="1:21" ht="19.149999999999999" customHeight="1">
      <c r="A2293" s="886"/>
      <c r="B2293" s="887"/>
      <c r="C2293" s="888"/>
      <c r="D2293" s="889"/>
      <c r="E2293" s="890"/>
      <c r="F2293" s="891"/>
      <c r="I2293" s="893"/>
      <c r="J2293" s="894"/>
      <c r="K2293" s="895"/>
      <c r="L2293" s="895"/>
      <c r="M2293" s="895"/>
      <c r="N2293" s="898"/>
      <c r="O2293" s="682"/>
      <c r="U2293" s="596"/>
    </row>
    <row r="2294" spans="1:21" ht="19.149999999999999" customHeight="1">
      <c r="A2294" s="886"/>
      <c r="B2294" s="887"/>
      <c r="C2294" s="888"/>
      <c r="D2294" s="889"/>
      <c r="E2294" s="890"/>
      <c r="F2294" s="891"/>
      <c r="I2294" s="893"/>
      <c r="J2294" s="894"/>
      <c r="K2294" s="895"/>
      <c r="L2294" s="895"/>
      <c r="M2294" s="895"/>
      <c r="N2294" s="898"/>
      <c r="O2294" s="682"/>
      <c r="U2294" s="596"/>
    </row>
    <row r="2295" spans="1:21" ht="19.149999999999999" customHeight="1">
      <c r="A2295" s="886"/>
      <c r="B2295" s="887"/>
      <c r="C2295" s="888"/>
      <c r="D2295" s="889"/>
      <c r="E2295" s="890"/>
      <c r="F2295" s="891"/>
      <c r="I2295" s="893"/>
      <c r="J2295" s="894"/>
      <c r="K2295" s="895"/>
      <c r="L2295" s="895"/>
      <c r="M2295" s="895"/>
      <c r="N2295" s="898"/>
      <c r="O2295" s="682"/>
      <c r="U2295" s="596"/>
    </row>
    <row r="2296" spans="1:21" ht="19.149999999999999" customHeight="1">
      <c r="A2296" s="886"/>
      <c r="B2296" s="887"/>
      <c r="C2296" s="888"/>
      <c r="D2296" s="889"/>
      <c r="E2296" s="890"/>
      <c r="F2296" s="891"/>
      <c r="I2296" s="893"/>
      <c r="J2296" s="894"/>
      <c r="K2296" s="895"/>
      <c r="L2296" s="895"/>
      <c r="M2296" s="895"/>
      <c r="N2296" s="898"/>
      <c r="O2296" s="682"/>
      <c r="U2296" s="596"/>
    </row>
    <row r="2297" spans="1:21" ht="19.149999999999999" customHeight="1">
      <c r="A2297" s="886"/>
      <c r="B2297" s="887"/>
      <c r="C2297" s="888"/>
      <c r="D2297" s="889"/>
      <c r="E2297" s="890"/>
      <c r="F2297" s="891"/>
      <c r="I2297" s="893"/>
      <c r="J2297" s="894"/>
      <c r="K2297" s="895"/>
      <c r="L2297" s="895"/>
      <c r="M2297" s="895"/>
      <c r="N2297" s="898"/>
      <c r="O2297" s="682"/>
      <c r="U2297" s="596"/>
    </row>
    <row r="2298" spans="1:21" ht="19.149999999999999" customHeight="1">
      <c r="A2298" s="886"/>
      <c r="B2298" s="887"/>
      <c r="C2298" s="888"/>
      <c r="D2298" s="889"/>
      <c r="E2298" s="890"/>
      <c r="F2298" s="891"/>
      <c r="I2298" s="893"/>
      <c r="J2298" s="894"/>
      <c r="K2298" s="895"/>
      <c r="L2298" s="895"/>
      <c r="M2298" s="895"/>
      <c r="N2298" s="898"/>
      <c r="O2298" s="682"/>
      <c r="U2298" s="596"/>
    </row>
    <row r="2299" spans="1:21" ht="19.149999999999999" customHeight="1">
      <c r="A2299" s="886"/>
      <c r="B2299" s="887"/>
      <c r="C2299" s="888"/>
      <c r="D2299" s="889"/>
      <c r="E2299" s="890"/>
      <c r="F2299" s="891"/>
      <c r="I2299" s="893"/>
      <c r="J2299" s="894"/>
      <c r="K2299" s="895"/>
      <c r="L2299" s="895"/>
      <c r="M2299" s="895"/>
      <c r="N2299" s="898"/>
      <c r="O2299" s="682"/>
      <c r="U2299" s="596"/>
    </row>
    <row r="2300" spans="1:21" ht="19.149999999999999" customHeight="1">
      <c r="A2300" s="886"/>
      <c r="B2300" s="887"/>
      <c r="C2300" s="888"/>
      <c r="D2300" s="889"/>
      <c r="E2300" s="890"/>
      <c r="F2300" s="891"/>
      <c r="I2300" s="893"/>
      <c r="J2300" s="894"/>
      <c r="K2300" s="895"/>
      <c r="L2300" s="895"/>
      <c r="M2300" s="895"/>
      <c r="N2300" s="898"/>
      <c r="O2300" s="682"/>
      <c r="U2300" s="596"/>
    </row>
    <row r="2301" spans="1:21" ht="19.149999999999999" customHeight="1">
      <c r="A2301" s="886"/>
      <c r="B2301" s="887"/>
      <c r="C2301" s="888"/>
      <c r="D2301" s="889"/>
      <c r="E2301" s="890"/>
      <c r="F2301" s="891"/>
      <c r="I2301" s="893"/>
      <c r="J2301" s="894"/>
      <c r="K2301" s="895"/>
      <c r="L2301" s="895"/>
      <c r="M2301" s="895"/>
      <c r="N2301" s="898"/>
      <c r="O2301" s="682"/>
      <c r="U2301" s="596"/>
    </row>
    <row r="2302" spans="1:21" ht="19.149999999999999" customHeight="1">
      <c r="A2302" s="886"/>
      <c r="B2302" s="887"/>
      <c r="C2302" s="888"/>
      <c r="D2302" s="889"/>
      <c r="E2302" s="890"/>
      <c r="F2302" s="891"/>
      <c r="I2302" s="893"/>
      <c r="J2302" s="894"/>
      <c r="K2302" s="895"/>
      <c r="L2302" s="895"/>
      <c r="M2302" s="895"/>
      <c r="N2302" s="898"/>
      <c r="O2302" s="682"/>
      <c r="U2302" s="596"/>
    </row>
    <row r="2303" spans="1:21" ht="19.149999999999999" customHeight="1">
      <c r="A2303" s="886"/>
      <c r="B2303" s="887"/>
      <c r="C2303" s="888"/>
      <c r="D2303" s="889"/>
      <c r="E2303" s="890"/>
      <c r="F2303" s="891"/>
      <c r="I2303" s="893"/>
      <c r="J2303" s="894"/>
      <c r="K2303" s="895"/>
      <c r="L2303" s="895"/>
      <c r="M2303" s="895"/>
      <c r="N2303" s="898"/>
      <c r="O2303" s="682"/>
      <c r="U2303" s="596"/>
    </row>
    <row r="2304" spans="1:21" ht="19.149999999999999" customHeight="1">
      <c r="A2304" s="886"/>
      <c r="B2304" s="887"/>
      <c r="C2304" s="888"/>
      <c r="D2304" s="889"/>
      <c r="E2304" s="890"/>
      <c r="F2304" s="891"/>
      <c r="I2304" s="893"/>
      <c r="J2304" s="894"/>
      <c r="K2304" s="895"/>
      <c r="L2304" s="895"/>
      <c r="M2304" s="895"/>
      <c r="N2304" s="898"/>
      <c r="O2304" s="682"/>
      <c r="U2304" s="596"/>
    </row>
    <row r="2305" spans="1:21" ht="19.149999999999999" customHeight="1">
      <c r="A2305" s="886"/>
      <c r="B2305" s="887"/>
      <c r="C2305" s="888"/>
      <c r="D2305" s="889"/>
      <c r="E2305" s="890"/>
      <c r="F2305" s="891"/>
      <c r="I2305" s="893"/>
      <c r="J2305" s="894"/>
      <c r="K2305" s="895"/>
      <c r="L2305" s="895"/>
      <c r="M2305" s="895"/>
      <c r="N2305" s="898"/>
      <c r="O2305" s="682"/>
      <c r="U2305" s="596"/>
    </row>
    <row r="2306" spans="1:21" ht="19.149999999999999" customHeight="1">
      <c r="A2306" s="886"/>
      <c r="B2306" s="887"/>
      <c r="C2306" s="888"/>
      <c r="D2306" s="889"/>
      <c r="E2306" s="890"/>
      <c r="F2306" s="891"/>
      <c r="I2306" s="893"/>
      <c r="J2306" s="894"/>
      <c r="K2306" s="895"/>
      <c r="L2306" s="895"/>
      <c r="M2306" s="895"/>
      <c r="N2306" s="898"/>
      <c r="O2306" s="682"/>
      <c r="U2306" s="596"/>
    </row>
    <row r="2307" spans="1:21" ht="19.149999999999999" customHeight="1">
      <c r="A2307" s="886"/>
      <c r="B2307" s="887"/>
      <c r="C2307" s="888"/>
      <c r="D2307" s="889"/>
      <c r="E2307" s="890"/>
      <c r="F2307" s="891"/>
      <c r="I2307" s="893"/>
      <c r="J2307" s="894"/>
      <c r="K2307" s="895"/>
      <c r="L2307" s="895"/>
      <c r="M2307" s="895"/>
      <c r="N2307" s="898"/>
      <c r="O2307" s="682"/>
      <c r="U2307" s="596"/>
    </row>
    <row r="2308" spans="1:21" ht="19.149999999999999" customHeight="1">
      <c r="A2308" s="886"/>
      <c r="B2308" s="887"/>
      <c r="C2308" s="888"/>
      <c r="D2308" s="889"/>
      <c r="E2308" s="890"/>
      <c r="F2308" s="891"/>
      <c r="I2308" s="893"/>
      <c r="J2308" s="894"/>
      <c r="K2308" s="895"/>
      <c r="L2308" s="895"/>
      <c r="M2308" s="895"/>
      <c r="N2308" s="898"/>
      <c r="O2308" s="682"/>
      <c r="U2308" s="596"/>
    </row>
    <row r="2309" spans="1:21" ht="19.149999999999999" customHeight="1">
      <c r="A2309" s="886"/>
      <c r="B2309" s="887"/>
      <c r="C2309" s="888"/>
      <c r="D2309" s="889"/>
      <c r="E2309" s="890"/>
      <c r="F2309" s="891"/>
      <c r="I2309" s="893"/>
      <c r="J2309" s="894"/>
      <c r="K2309" s="895"/>
      <c r="L2309" s="895"/>
      <c r="M2309" s="895"/>
      <c r="N2309" s="898"/>
      <c r="O2309" s="682"/>
      <c r="U2309" s="596"/>
    </row>
    <row r="2310" spans="1:21" ht="19.149999999999999" customHeight="1">
      <c r="A2310" s="886"/>
      <c r="B2310" s="887"/>
      <c r="C2310" s="888"/>
      <c r="D2310" s="889"/>
      <c r="E2310" s="890"/>
      <c r="F2310" s="891"/>
      <c r="I2310" s="893"/>
      <c r="J2310" s="894"/>
      <c r="K2310" s="895"/>
      <c r="L2310" s="895"/>
      <c r="M2310" s="895"/>
      <c r="N2310" s="898"/>
      <c r="O2310" s="682"/>
      <c r="U2310" s="596"/>
    </row>
    <row r="2311" spans="1:21" ht="19.149999999999999" customHeight="1">
      <c r="A2311" s="886"/>
      <c r="B2311" s="887"/>
      <c r="C2311" s="888"/>
      <c r="D2311" s="889"/>
      <c r="E2311" s="890"/>
      <c r="F2311" s="891"/>
      <c r="I2311" s="893"/>
      <c r="J2311" s="894"/>
      <c r="K2311" s="895"/>
      <c r="L2311" s="895"/>
      <c r="M2311" s="895"/>
      <c r="N2311" s="898"/>
      <c r="O2311" s="682"/>
      <c r="U2311" s="596"/>
    </row>
    <row r="2312" spans="1:21" ht="19.149999999999999" customHeight="1">
      <c r="A2312" s="886"/>
      <c r="B2312" s="887"/>
      <c r="C2312" s="888"/>
      <c r="D2312" s="889"/>
      <c r="E2312" s="890"/>
      <c r="F2312" s="891"/>
      <c r="I2312" s="893"/>
      <c r="J2312" s="894"/>
      <c r="K2312" s="895"/>
      <c r="L2312" s="895"/>
      <c r="M2312" s="895"/>
      <c r="N2312" s="898"/>
      <c r="O2312" s="682"/>
      <c r="U2312" s="596"/>
    </row>
    <row r="2313" spans="1:21" ht="19.149999999999999" customHeight="1">
      <c r="A2313" s="886"/>
      <c r="B2313" s="887"/>
      <c r="C2313" s="888"/>
      <c r="D2313" s="889"/>
      <c r="E2313" s="890"/>
      <c r="F2313" s="891"/>
      <c r="I2313" s="893"/>
      <c r="J2313" s="894"/>
      <c r="K2313" s="895"/>
      <c r="L2313" s="895"/>
      <c r="M2313" s="895"/>
      <c r="N2313" s="898"/>
      <c r="O2313" s="682"/>
      <c r="U2313" s="596"/>
    </row>
    <row r="2314" spans="1:21" ht="19.149999999999999" customHeight="1">
      <c r="A2314" s="886"/>
      <c r="B2314" s="887"/>
      <c r="C2314" s="888"/>
      <c r="D2314" s="889"/>
      <c r="E2314" s="890"/>
      <c r="F2314" s="891"/>
      <c r="I2314" s="893"/>
      <c r="J2314" s="894"/>
      <c r="K2314" s="895"/>
      <c r="L2314" s="895"/>
      <c r="M2314" s="895"/>
      <c r="N2314" s="898"/>
      <c r="O2314" s="682"/>
      <c r="U2314" s="596"/>
    </row>
    <row r="2315" spans="1:21" ht="19.149999999999999" customHeight="1">
      <c r="A2315" s="886"/>
      <c r="B2315" s="887"/>
      <c r="C2315" s="888"/>
      <c r="D2315" s="889"/>
      <c r="E2315" s="890"/>
      <c r="F2315" s="891"/>
      <c r="I2315" s="893"/>
      <c r="J2315" s="894"/>
      <c r="K2315" s="895"/>
      <c r="L2315" s="895"/>
      <c r="M2315" s="895"/>
      <c r="N2315" s="898"/>
      <c r="O2315" s="682"/>
      <c r="U2315" s="596"/>
    </row>
    <row r="2316" spans="1:21" ht="19.149999999999999" customHeight="1">
      <c r="A2316" s="886"/>
      <c r="B2316" s="887"/>
      <c r="C2316" s="888"/>
      <c r="D2316" s="889"/>
      <c r="E2316" s="890"/>
      <c r="F2316" s="891"/>
      <c r="I2316" s="893"/>
      <c r="J2316" s="894"/>
      <c r="K2316" s="895"/>
      <c r="L2316" s="895"/>
      <c r="M2316" s="895"/>
      <c r="N2316" s="898"/>
      <c r="O2316" s="682"/>
      <c r="U2316" s="596"/>
    </row>
    <row r="2317" spans="1:21" ht="19.149999999999999" customHeight="1">
      <c r="A2317" s="886"/>
      <c r="B2317" s="887"/>
      <c r="C2317" s="888"/>
      <c r="D2317" s="889"/>
      <c r="E2317" s="890"/>
      <c r="F2317" s="891"/>
      <c r="I2317" s="893"/>
      <c r="J2317" s="894"/>
      <c r="K2317" s="895"/>
      <c r="L2317" s="895"/>
      <c r="M2317" s="895"/>
      <c r="N2317" s="898"/>
      <c r="O2317" s="682"/>
      <c r="U2317" s="596"/>
    </row>
    <row r="2318" spans="1:21" ht="19.149999999999999" customHeight="1">
      <c r="A2318" s="886"/>
      <c r="B2318" s="887"/>
      <c r="C2318" s="888"/>
      <c r="D2318" s="889"/>
      <c r="E2318" s="890"/>
      <c r="F2318" s="891"/>
      <c r="I2318" s="893"/>
      <c r="J2318" s="894"/>
      <c r="K2318" s="895"/>
      <c r="L2318" s="895"/>
      <c r="M2318" s="895"/>
      <c r="N2318" s="898"/>
      <c r="O2318" s="682"/>
      <c r="U2318" s="596"/>
    </row>
    <row r="2319" spans="1:21" ht="19.149999999999999" customHeight="1">
      <c r="A2319" s="886"/>
      <c r="B2319" s="887"/>
      <c r="C2319" s="888"/>
      <c r="D2319" s="889"/>
      <c r="E2319" s="890"/>
      <c r="F2319" s="891"/>
      <c r="I2319" s="893"/>
      <c r="J2319" s="894"/>
      <c r="K2319" s="895"/>
      <c r="L2319" s="895"/>
      <c r="M2319" s="895"/>
      <c r="N2319" s="898"/>
      <c r="O2319" s="682"/>
      <c r="U2319" s="596"/>
    </row>
    <row r="2320" spans="1:21" ht="19.149999999999999" customHeight="1">
      <c r="A2320" s="886"/>
      <c r="B2320" s="887"/>
      <c r="C2320" s="888"/>
      <c r="D2320" s="889"/>
      <c r="E2320" s="890"/>
      <c r="F2320" s="891"/>
      <c r="I2320" s="893"/>
      <c r="J2320" s="894"/>
      <c r="K2320" s="895"/>
      <c r="L2320" s="895"/>
      <c r="M2320" s="895"/>
      <c r="N2320" s="898"/>
      <c r="O2320" s="682"/>
      <c r="U2320" s="596"/>
    </row>
    <row r="2321" spans="1:21" ht="19.149999999999999" customHeight="1">
      <c r="A2321" s="886"/>
      <c r="B2321" s="887"/>
      <c r="C2321" s="888"/>
      <c r="D2321" s="889"/>
      <c r="E2321" s="890"/>
      <c r="F2321" s="891"/>
      <c r="I2321" s="893"/>
      <c r="J2321" s="894"/>
      <c r="K2321" s="895"/>
      <c r="L2321" s="895"/>
      <c r="M2321" s="895"/>
      <c r="N2321" s="898"/>
      <c r="O2321" s="682"/>
      <c r="U2321" s="596"/>
    </row>
    <row r="2322" spans="1:21" ht="19.149999999999999" customHeight="1">
      <c r="A2322" s="886"/>
      <c r="B2322" s="887"/>
      <c r="C2322" s="888"/>
      <c r="D2322" s="889"/>
      <c r="E2322" s="890"/>
      <c r="F2322" s="891"/>
      <c r="I2322" s="893"/>
      <c r="J2322" s="894"/>
      <c r="K2322" s="895"/>
      <c r="L2322" s="895"/>
      <c r="M2322" s="895"/>
      <c r="N2322" s="898"/>
      <c r="O2322" s="682"/>
      <c r="U2322" s="596"/>
    </row>
    <row r="2323" spans="1:21" ht="19.149999999999999" customHeight="1">
      <c r="A2323" s="886"/>
      <c r="B2323" s="887"/>
      <c r="C2323" s="888"/>
      <c r="D2323" s="889"/>
      <c r="E2323" s="890"/>
      <c r="F2323" s="891"/>
      <c r="I2323" s="893"/>
      <c r="J2323" s="894"/>
      <c r="K2323" s="895"/>
      <c r="L2323" s="895"/>
      <c r="M2323" s="895"/>
      <c r="N2323" s="898"/>
      <c r="O2323" s="682"/>
      <c r="U2323" s="596"/>
    </row>
    <row r="2324" spans="1:21" ht="19.149999999999999" customHeight="1">
      <c r="A2324" s="886"/>
      <c r="B2324" s="887"/>
      <c r="C2324" s="888"/>
      <c r="D2324" s="889"/>
      <c r="E2324" s="890"/>
      <c r="F2324" s="891"/>
      <c r="I2324" s="893"/>
      <c r="J2324" s="894"/>
      <c r="K2324" s="895"/>
      <c r="L2324" s="895"/>
      <c r="M2324" s="895"/>
      <c r="N2324" s="898"/>
      <c r="O2324" s="682"/>
      <c r="U2324" s="596"/>
    </row>
    <row r="2325" spans="1:21" ht="19.149999999999999" customHeight="1">
      <c r="A2325" s="886"/>
      <c r="B2325" s="887"/>
      <c r="C2325" s="888"/>
      <c r="D2325" s="889"/>
      <c r="E2325" s="890"/>
      <c r="F2325" s="891"/>
      <c r="I2325" s="893"/>
      <c r="J2325" s="894"/>
      <c r="K2325" s="895"/>
      <c r="L2325" s="895"/>
      <c r="M2325" s="895"/>
      <c r="N2325" s="898"/>
      <c r="O2325" s="682"/>
      <c r="U2325" s="596"/>
    </row>
    <row r="2326" spans="1:21" ht="19.149999999999999" customHeight="1">
      <c r="A2326" s="886"/>
      <c r="B2326" s="887"/>
      <c r="C2326" s="888"/>
      <c r="D2326" s="889"/>
      <c r="E2326" s="890"/>
      <c r="F2326" s="891"/>
      <c r="I2326" s="893"/>
      <c r="J2326" s="894"/>
      <c r="K2326" s="895"/>
      <c r="L2326" s="895"/>
      <c r="M2326" s="895"/>
      <c r="N2326" s="898"/>
      <c r="O2326" s="682"/>
      <c r="U2326" s="596"/>
    </row>
    <row r="2327" spans="1:21" ht="19.149999999999999" customHeight="1">
      <c r="A2327" s="886"/>
      <c r="B2327" s="887"/>
      <c r="C2327" s="888"/>
      <c r="D2327" s="889"/>
      <c r="E2327" s="890"/>
      <c r="F2327" s="891"/>
      <c r="I2327" s="893"/>
      <c r="J2327" s="894"/>
      <c r="K2327" s="895"/>
      <c r="L2327" s="895"/>
      <c r="M2327" s="895"/>
      <c r="N2327" s="898"/>
      <c r="O2327" s="682"/>
      <c r="U2327" s="596"/>
    </row>
    <row r="2328" spans="1:21" ht="19.149999999999999" customHeight="1">
      <c r="A2328" s="886"/>
      <c r="B2328" s="887"/>
      <c r="C2328" s="888"/>
      <c r="D2328" s="889"/>
      <c r="E2328" s="890"/>
      <c r="F2328" s="891"/>
      <c r="I2328" s="893"/>
      <c r="J2328" s="894"/>
      <c r="K2328" s="895"/>
      <c r="L2328" s="895"/>
      <c r="M2328" s="895"/>
      <c r="N2328" s="898"/>
      <c r="O2328" s="682"/>
      <c r="U2328" s="596"/>
    </row>
    <row r="2329" spans="1:21" ht="19.149999999999999" customHeight="1">
      <c r="A2329" s="886"/>
      <c r="B2329" s="887"/>
      <c r="C2329" s="888"/>
      <c r="D2329" s="889"/>
      <c r="E2329" s="890"/>
      <c r="F2329" s="891"/>
      <c r="I2329" s="893"/>
      <c r="J2329" s="894"/>
      <c r="K2329" s="895"/>
      <c r="L2329" s="895"/>
      <c r="M2329" s="895"/>
      <c r="N2329" s="898"/>
      <c r="O2329" s="682"/>
      <c r="U2329" s="596"/>
    </row>
    <row r="2330" spans="1:21" ht="19.149999999999999" customHeight="1">
      <c r="A2330" s="886"/>
      <c r="B2330" s="887"/>
      <c r="C2330" s="888"/>
      <c r="D2330" s="889"/>
      <c r="E2330" s="890"/>
      <c r="F2330" s="891"/>
      <c r="I2330" s="893"/>
      <c r="J2330" s="894"/>
      <c r="K2330" s="895"/>
      <c r="L2330" s="895"/>
      <c r="M2330" s="895"/>
      <c r="N2330" s="898"/>
      <c r="O2330" s="682"/>
      <c r="U2330" s="596"/>
    </row>
    <row r="2331" spans="1:21" ht="19.149999999999999" customHeight="1">
      <c r="A2331" s="886"/>
      <c r="B2331" s="887"/>
      <c r="C2331" s="888"/>
      <c r="D2331" s="889"/>
      <c r="E2331" s="890"/>
      <c r="F2331" s="891"/>
      <c r="I2331" s="893"/>
      <c r="J2331" s="894"/>
      <c r="K2331" s="895"/>
      <c r="L2331" s="895"/>
      <c r="M2331" s="895"/>
      <c r="N2331" s="898"/>
      <c r="O2331" s="682"/>
      <c r="U2331" s="596"/>
    </row>
    <row r="2332" spans="1:21" ht="19.149999999999999" customHeight="1">
      <c r="A2332" s="886"/>
      <c r="B2332" s="887"/>
      <c r="C2332" s="888"/>
      <c r="D2332" s="889"/>
      <c r="E2332" s="890"/>
      <c r="F2332" s="891"/>
      <c r="I2332" s="893"/>
      <c r="J2332" s="894"/>
      <c r="K2332" s="895"/>
      <c r="L2332" s="895"/>
      <c r="M2332" s="895"/>
      <c r="N2332" s="898"/>
      <c r="O2332" s="682"/>
      <c r="U2332" s="596"/>
    </row>
    <row r="2333" spans="1:21" ht="19.149999999999999" customHeight="1">
      <c r="A2333" s="886"/>
      <c r="B2333" s="887"/>
      <c r="C2333" s="888"/>
      <c r="D2333" s="889"/>
      <c r="E2333" s="890"/>
      <c r="F2333" s="891"/>
      <c r="I2333" s="893"/>
      <c r="J2333" s="894"/>
      <c r="K2333" s="895"/>
      <c r="L2333" s="895"/>
      <c r="M2333" s="895"/>
      <c r="N2333" s="898"/>
      <c r="O2333" s="682"/>
      <c r="U2333" s="596"/>
    </row>
    <row r="2334" spans="1:21" ht="19.149999999999999" customHeight="1">
      <c r="A2334" s="886"/>
      <c r="B2334" s="887"/>
      <c r="C2334" s="888"/>
      <c r="D2334" s="889"/>
      <c r="E2334" s="890"/>
      <c r="F2334" s="891"/>
      <c r="I2334" s="893"/>
      <c r="J2334" s="894"/>
      <c r="K2334" s="895"/>
      <c r="L2334" s="895"/>
      <c r="M2334" s="895"/>
      <c r="N2334" s="898"/>
      <c r="O2334" s="682"/>
      <c r="U2334" s="596"/>
    </row>
    <row r="2335" spans="1:21" ht="19.149999999999999" customHeight="1">
      <c r="A2335" s="886"/>
      <c r="B2335" s="887"/>
      <c r="C2335" s="888"/>
      <c r="D2335" s="889"/>
      <c r="E2335" s="890"/>
      <c r="F2335" s="891"/>
      <c r="I2335" s="893"/>
      <c r="J2335" s="894"/>
      <c r="K2335" s="895"/>
      <c r="L2335" s="895"/>
      <c r="M2335" s="895"/>
      <c r="N2335" s="898"/>
      <c r="O2335" s="682"/>
      <c r="U2335" s="596"/>
    </row>
    <row r="2336" spans="1:21" ht="19.149999999999999" customHeight="1">
      <c r="A2336" s="886"/>
      <c r="B2336" s="887"/>
      <c r="C2336" s="888"/>
      <c r="D2336" s="889"/>
      <c r="E2336" s="890"/>
      <c r="F2336" s="891"/>
      <c r="I2336" s="893"/>
      <c r="J2336" s="894"/>
      <c r="K2336" s="895"/>
      <c r="L2336" s="895"/>
      <c r="M2336" s="895"/>
      <c r="N2336" s="898"/>
      <c r="O2336" s="682"/>
      <c r="U2336" s="596"/>
    </row>
    <row r="2337" spans="1:21" ht="19.149999999999999" customHeight="1">
      <c r="A2337" s="886"/>
      <c r="B2337" s="887"/>
      <c r="C2337" s="888"/>
      <c r="D2337" s="889"/>
      <c r="E2337" s="890"/>
      <c r="F2337" s="891"/>
      <c r="I2337" s="893"/>
      <c r="J2337" s="894"/>
      <c r="K2337" s="895"/>
      <c r="L2337" s="895"/>
      <c r="M2337" s="895"/>
      <c r="N2337" s="898"/>
      <c r="O2337" s="682"/>
      <c r="U2337" s="596"/>
    </row>
    <row r="2338" spans="1:21" ht="19.149999999999999" customHeight="1">
      <c r="A2338" s="886"/>
      <c r="B2338" s="887"/>
      <c r="C2338" s="888"/>
      <c r="D2338" s="889"/>
      <c r="E2338" s="890"/>
      <c r="F2338" s="891"/>
      <c r="I2338" s="893"/>
      <c r="J2338" s="894"/>
      <c r="K2338" s="895"/>
      <c r="L2338" s="895"/>
      <c r="M2338" s="895"/>
      <c r="N2338" s="898"/>
      <c r="O2338" s="682"/>
      <c r="U2338" s="596"/>
    </row>
    <row r="2339" spans="1:21" ht="19.149999999999999" customHeight="1">
      <c r="A2339" s="886"/>
      <c r="B2339" s="887"/>
      <c r="C2339" s="888"/>
      <c r="D2339" s="889"/>
      <c r="E2339" s="890"/>
      <c r="F2339" s="891"/>
      <c r="I2339" s="893"/>
      <c r="J2339" s="894"/>
      <c r="K2339" s="895"/>
      <c r="L2339" s="895"/>
      <c r="M2339" s="895"/>
      <c r="N2339" s="898"/>
      <c r="O2339" s="682"/>
      <c r="U2339" s="596"/>
    </row>
    <row r="2340" spans="1:21" ht="19.149999999999999" customHeight="1">
      <c r="A2340" s="886"/>
      <c r="B2340" s="887"/>
      <c r="C2340" s="888"/>
      <c r="D2340" s="889"/>
      <c r="E2340" s="890"/>
      <c r="F2340" s="891"/>
      <c r="I2340" s="893"/>
      <c r="J2340" s="894"/>
      <c r="K2340" s="895"/>
      <c r="L2340" s="895"/>
      <c r="M2340" s="895"/>
      <c r="N2340" s="898"/>
      <c r="O2340" s="682"/>
      <c r="U2340" s="596"/>
    </row>
    <row r="2341" spans="1:21" ht="19.149999999999999" customHeight="1">
      <c r="A2341" s="886"/>
      <c r="B2341" s="887"/>
      <c r="C2341" s="888"/>
      <c r="D2341" s="889"/>
      <c r="E2341" s="890"/>
      <c r="F2341" s="891"/>
      <c r="I2341" s="893"/>
      <c r="J2341" s="894"/>
      <c r="K2341" s="895"/>
      <c r="L2341" s="895"/>
      <c r="M2341" s="895"/>
      <c r="N2341" s="898"/>
      <c r="O2341" s="682"/>
      <c r="U2341" s="596"/>
    </row>
    <row r="2342" spans="1:21" ht="19.149999999999999" customHeight="1">
      <c r="A2342" s="886"/>
      <c r="B2342" s="887"/>
      <c r="C2342" s="888"/>
      <c r="D2342" s="889"/>
      <c r="E2342" s="890"/>
      <c r="F2342" s="891"/>
      <c r="I2342" s="893"/>
      <c r="J2342" s="894"/>
      <c r="K2342" s="895"/>
      <c r="L2342" s="895"/>
      <c r="M2342" s="895"/>
      <c r="N2342" s="898"/>
      <c r="O2342" s="682"/>
      <c r="U2342" s="596"/>
    </row>
    <row r="2343" spans="1:21" ht="19.149999999999999" customHeight="1">
      <c r="A2343" s="886"/>
      <c r="B2343" s="887"/>
      <c r="C2343" s="888"/>
      <c r="D2343" s="889"/>
      <c r="E2343" s="890"/>
      <c r="F2343" s="891"/>
      <c r="I2343" s="893"/>
      <c r="J2343" s="894"/>
      <c r="K2343" s="895"/>
      <c r="L2343" s="895"/>
      <c r="M2343" s="895"/>
      <c r="N2343" s="898"/>
      <c r="O2343" s="682"/>
      <c r="U2343" s="596"/>
    </row>
    <row r="2344" spans="1:21" ht="19.149999999999999" customHeight="1">
      <c r="A2344" s="886"/>
      <c r="B2344" s="887"/>
      <c r="C2344" s="888"/>
      <c r="D2344" s="889"/>
      <c r="E2344" s="890"/>
      <c r="F2344" s="891"/>
      <c r="I2344" s="893"/>
      <c r="J2344" s="894"/>
      <c r="K2344" s="895"/>
      <c r="L2344" s="895"/>
      <c r="M2344" s="895"/>
      <c r="N2344" s="898"/>
      <c r="O2344" s="682"/>
      <c r="U2344" s="596"/>
    </row>
    <row r="2345" spans="1:21" ht="19.149999999999999" customHeight="1">
      <c r="A2345" s="886"/>
      <c r="B2345" s="887"/>
      <c r="C2345" s="888"/>
      <c r="D2345" s="889"/>
      <c r="E2345" s="890"/>
      <c r="F2345" s="891"/>
      <c r="I2345" s="893"/>
      <c r="J2345" s="894"/>
      <c r="K2345" s="895"/>
      <c r="L2345" s="895"/>
      <c r="M2345" s="895"/>
      <c r="N2345" s="898"/>
      <c r="O2345" s="682"/>
      <c r="U2345" s="596"/>
    </row>
    <row r="2346" spans="1:21" ht="19.149999999999999" customHeight="1">
      <c r="A2346" s="886"/>
      <c r="B2346" s="887"/>
      <c r="C2346" s="888"/>
      <c r="D2346" s="889"/>
      <c r="E2346" s="890"/>
      <c r="F2346" s="891"/>
      <c r="I2346" s="893"/>
      <c r="J2346" s="894"/>
      <c r="K2346" s="895"/>
      <c r="L2346" s="895"/>
      <c r="M2346" s="895"/>
      <c r="N2346" s="898"/>
      <c r="O2346" s="682"/>
      <c r="U2346" s="596"/>
    </row>
    <row r="2347" spans="1:21" ht="19.149999999999999" customHeight="1">
      <c r="A2347" s="886"/>
      <c r="B2347" s="887"/>
      <c r="C2347" s="888"/>
      <c r="D2347" s="889"/>
      <c r="E2347" s="890"/>
      <c r="F2347" s="891"/>
      <c r="I2347" s="893"/>
      <c r="J2347" s="894"/>
      <c r="K2347" s="895"/>
      <c r="L2347" s="895"/>
      <c r="M2347" s="895"/>
      <c r="N2347" s="898"/>
      <c r="O2347" s="682"/>
      <c r="U2347" s="596"/>
    </row>
    <row r="2348" spans="1:21" ht="19.149999999999999" customHeight="1">
      <c r="A2348" s="886"/>
      <c r="B2348" s="887"/>
      <c r="C2348" s="888"/>
      <c r="D2348" s="889"/>
      <c r="E2348" s="890"/>
      <c r="F2348" s="891"/>
      <c r="I2348" s="893"/>
      <c r="J2348" s="894"/>
      <c r="K2348" s="895"/>
      <c r="L2348" s="895"/>
      <c r="M2348" s="895"/>
      <c r="N2348" s="898"/>
      <c r="O2348" s="682"/>
      <c r="U2348" s="596"/>
    </row>
    <row r="2349" spans="1:21" ht="19.149999999999999" customHeight="1">
      <c r="A2349" s="886"/>
      <c r="B2349" s="887"/>
      <c r="C2349" s="888"/>
      <c r="D2349" s="889"/>
      <c r="E2349" s="890"/>
      <c r="F2349" s="891"/>
      <c r="I2349" s="893"/>
      <c r="J2349" s="894"/>
      <c r="K2349" s="895"/>
      <c r="L2349" s="895"/>
      <c r="M2349" s="895"/>
      <c r="N2349" s="898"/>
      <c r="O2349" s="682"/>
      <c r="U2349" s="596"/>
    </row>
    <row r="2350" spans="1:21" ht="19.149999999999999" customHeight="1">
      <c r="A2350" s="886"/>
      <c r="B2350" s="887"/>
      <c r="C2350" s="888"/>
      <c r="D2350" s="889"/>
      <c r="E2350" s="890"/>
      <c r="F2350" s="891"/>
      <c r="I2350" s="893"/>
      <c r="J2350" s="894"/>
      <c r="K2350" s="895"/>
      <c r="L2350" s="895"/>
      <c r="M2350" s="895"/>
      <c r="N2350" s="898"/>
      <c r="O2350" s="682"/>
      <c r="U2350" s="596"/>
    </row>
    <row r="2351" spans="1:21" ht="19.149999999999999" customHeight="1">
      <c r="A2351" s="886"/>
      <c r="B2351" s="887"/>
      <c r="C2351" s="888"/>
      <c r="D2351" s="889"/>
      <c r="E2351" s="890"/>
      <c r="F2351" s="891"/>
      <c r="I2351" s="893"/>
      <c r="J2351" s="894"/>
      <c r="K2351" s="895"/>
      <c r="L2351" s="895"/>
      <c r="M2351" s="895"/>
      <c r="N2351" s="898"/>
      <c r="O2351" s="682"/>
      <c r="U2351" s="596"/>
    </row>
    <row r="2352" spans="1:21" ht="19.149999999999999" customHeight="1">
      <c r="A2352" s="886"/>
      <c r="B2352" s="887"/>
      <c r="C2352" s="888"/>
      <c r="D2352" s="889"/>
      <c r="E2352" s="890"/>
      <c r="F2352" s="891"/>
      <c r="I2352" s="893"/>
      <c r="J2352" s="894"/>
      <c r="K2352" s="895"/>
      <c r="L2352" s="895"/>
      <c r="M2352" s="895"/>
      <c r="N2352" s="898"/>
      <c r="O2352" s="682"/>
      <c r="U2352" s="596"/>
    </row>
    <row r="2353" spans="1:21" ht="19.149999999999999" customHeight="1">
      <c r="A2353" s="886"/>
      <c r="B2353" s="887"/>
      <c r="C2353" s="888"/>
      <c r="D2353" s="889"/>
      <c r="E2353" s="890"/>
      <c r="F2353" s="891"/>
      <c r="I2353" s="893"/>
      <c r="J2353" s="894"/>
      <c r="K2353" s="895"/>
      <c r="L2353" s="895"/>
      <c r="M2353" s="895"/>
      <c r="N2353" s="898"/>
      <c r="O2353" s="682"/>
      <c r="U2353" s="596"/>
    </row>
    <row r="2354" spans="1:21" ht="19.149999999999999" customHeight="1">
      <c r="A2354" s="886"/>
      <c r="B2354" s="887"/>
      <c r="C2354" s="888"/>
      <c r="D2354" s="889"/>
      <c r="E2354" s="890"/>
      <c r="F2354" s="891"/>
      <c r="I2354" s="893"/>
      <c r="J2354" s="894"/>
      <c r="K2354" s="895"/>
      <c r="L2354" s="895"/>
      <c r="M2354" s="895"/>
      <c r="N2354" s="898"/>
      <c r="O2354" s="682"/>
      <c r="U2354" s="596"/>
    </row>
    <row r="2355" spans="1:21" ht="19.149999999999999" customHeight="1">
      <c r="A2355" s="886"/>
      <c r="B2355" s="887"/>
      <c r="C2355" s="888"/>
      <c r="D2355" s="889"/>
      <c r="E2355" s="890"/>
      <c r="F2355" s="891"/>
      <c r="I2355" s="893"/>
      <c r="J2355" s="894"/>
      <c r="K2355" s="895"/>
      <c r="L2355" s="895"/>
      <c r="M2355" s="895"/>
      <c r="N2355" s="898"/>
      <c r="O2355" s="682"/>
      <c r="U2355" s="596"/>
    </row>
    <row r="2356" spans="1:21" ht="19.149999999999999" customHeight="1">
      <c r="A2356" s="886"/>
      <c r="B2356" s="887"/>
      <c r="C2356" s="888"/>
      <c r="D2356" s="889"/>
      <c r="E2356" s="890"/>
      <c r="F2356" s="891"/>
      <c r="I2356" s="893"/>
      <c r="J2356" s="894"/>
      <c r="K2356" s="895"/>
      <c r="L2356" s="895"/>
      <c r="M2356" s="895"/>
      <c r="N2356" s="898"/>
      <c r="O2356" s="682"/>
      <c r="U2356" s="596"/>
    </row>
    <row r="2357" spans="1:21" ht="19.149999999999999" customHeight="1">
      <c r="A2357" s="886"/>
      <c r="B2357" s="887"/>
      <c r="C2357" s="888"/>
      <c r="D2357" s="889"/>
      <c r="E2357" s="890"/>
      <c r="F2357" s="891"/>
      <c r="I2357" s="893"/>
      <c r="J2357" s="894"/>
      <c r="K2357" s="895"/>
      <c r="L2357" s="895"/>
      <c r="M2357" s="895"/>
      <c r="N2357" s="898"/>
      <c r="O2357" s="682"/>
      <c r="U2357" s="596"/>
    </row>
    <row r="2358" spans="1:21" ht="19.149999999999999" customHeight="1">
      <c r="A2358" s="886"/>
      <c r="B2358" s="887"/>
      <c r="C2358" s="888"/>
      <c r="D2358" s="889"/>
      <c r="E2358" s="890"/>
      <c r="F2358" s="891"/>
      <c r="I2358" s="893"/>
      <c r="J2358" s="894"/>
      <c r="K2358" s="895"/>
      <c r="L2358" s="895"/>
      <c r="M2358" s="895"/>
      <c r="N2358" s="898"/>
      <c r="O2358" s="682"/>
      <c r="U2358" s="596"/>
    </row>
    <row r="2359" spans="1:21" ht="19.149999999999999" customHeight="1">
      <c r="A2359" s="886"/>
      <c r="B2359" s="887"/>
      <c r="C2359" s="888"/>
      <c r="D2359" s="889"/>
      <c r="E2359" s="890"/>
      <c r="F2359" s="891"/>
      <c r="I2359" s="893"/>
      <c r="J2359" s="894"/>
      <c r="K2359" s="895"/>
      <c r="L2359" s="895"/>
      <c r="M2359" s="895"/>
      <c r="N2359" s="898"/>
      <c r="O2359" s="682"/>
      <c r="U2359" s="596"/>
    </row>
    <row r="2360" spans="1:21" ht="19.149999999999999" customHeight="1">
      <c r="A2360" s="886"/>
      <c r="B2360" s="887"/>
      <c r="C2360" s="888"/>
      <c r="D2360" s="889"/>
      <c r="E2360" s="890"/>
      <c r="F2360" s="891"/>
      <c r="I2360" s="893"/>
      <c r="J2360" s="894"/>
      <c r="K2360" s="895"/>
      <c r="L2360" s="895"/>
      <c r="M2360" s="895"/>
      <c r="N2360" s="898"/>
      <c r="O2360" s="682"/>
      <c r="U2360" s="596"/>
    </row>
    <row r="2361" spans="1:21" ht="19.149999999999999" customHeight="1">
      <c r="A2361" s="886"/>
      <c r="B2361" s="887"/>
      <c r="C2361" s="888"/>
      <c r="D2361" s="889"/>
      <c r="E2361" s="890"/>
      <c r="F2361" s="891"/>
      <c r="I2361" s="893"/>
      <c r="J2361" s="894"/>
      <c r="K2361" s="895"/>
      <c r="L2361" s="895"/>
      <c r="M2361" s="895"/>
      <c r="N2361" s="898"/>
      <c r="O2361" s="682"/>
      <c r="U2361" s="596"/>
    </row>
    <row r="2362" spans="1:21" ht="19.149999999999999" customHeight="1">
      <c r="A2362" s="886"/>
      <c r="B2362" s="887"/>
      <c r="C2362" s="888"/>
      <c r="D2362" s="889"/>
      <c r="E2362" s="890"/>
      <c r="F2362" s="891"/>
      <c r="I2362" s="893"/>
      <c r="J2362" s="894"/>
      <c r="K2362" s="895"/>
      <c r="L2362" s="895"/>
      <c r="M2362" s="895"/>
      <c r="N2362" s="898"/>
      <c r="O2362" s="682"/>
      <c r="U2362" s="596"/>
    </row>
    <row r="2363" spans="1:21" ht="19.149999999999999" customHeight="1">
      <c r="A2363" s="886"/>
      <c r="B2363" s="887"/>
      <c r="C2363" s="888"/>
      <c r="D2363" s="889"/>
      <c r="E2363" s="890"/>
      <c r="F2363" s="891"/>
      <c r="I2363" s="893"/>
      <c r="J2363" s="894"/>
      <c r="K2363" s="895"/>
      <c r="L2363" s="895"/>
      <c r="M2363" s="895"/>
      <c r="N2363" s="898"/>
      <c r="O2363" s="682"/>
      <c r="U2363" s="596"/>
    </row>
    <row r="2364" spans="1:21" ht="19.149999999999999" customHeight="1">
      <c r="A2364" s="886"/>
      <c r="B2364" s="887"/>
      <c r="C2364" s="888"/>
      <c r="D2364" s="889"/>
      <c r="E2364" s="890"/>
      <c r="F2364" s="891"/>
      <c r="I2364" s="893"/>
      <c r="J2364" s="894"/>
      <c r="K2364" s="895"/>
      <c r="L2364" s="895"/>
      <c r="M2364" s="895"/>
      <c r="N2364" s="898"/>
      <c r="O2364" s="682"/>
      <c r="U2364" s="596"/>
    </row>
    <row r="2365" spans="1:21" ht="19.149999999999999" customHeight="1">
      <c r="A2365" s="886"/>
      <c r="B2365" s="887"/>
      <c r="C2365" s="888"/>
      <c r="D2365" s="889"/>
      <c r="E2365" s="890"/>
      <c r="F2365" s="891"/>
      <c r="I2365" s="893"/>
      <c r="J2365" s="894"/>
      <c r="K2365" s="895"/>
      <c r="L2365" s="895"/>
      <c r="M2365" s="895"/>
      <c r="N2365" s="898"/>
      <c r="O2365" s="682"/>
      <c r="U2365" s="596"/>
    </row>
    <row r="2366" spans="1:21" ht="19.149999999999999" customHeight="1">
      <c r="A2366" s="886"/>
      <c r="B2366" s="887"/>
      <c r="C2366" s="888"/>
      <c r="D2366" s="889"/>
      <c r="E2366" s="890"/>
      <c r="F2366" s="891"/>
      <c r="I2366" s="893"/>
      <c r="J2366" s="894"/>
      <c r="K2366" s="895"/>
      <c r="L2366" s="895"/>
      <c r="M2366" s="895"/>
      <c r="N2366" s="898"/>
      <c r="O2366" s="682"/>
      <c r="U2366" s="596"/>
    </row>
    <row r="2367" spans="1:21" ht="19.149999999999999" customHeight="1">
      <c r="A2367" s="886"/>
      <c r="B2367" s="887"/>
      <c r="C2367" s="888"/>
      <c r="D2367" s="889"/>
      <c r="E2367" s="890"/>
      <c r="F2367" s="891"/>
      <c r="I2367" s="893"/>
      <c r="J2367" s="894"/>
      <c r="K2367" s="895"/>
      <c r="L2367" s="895"/>
      <c r="M2367" s="895"/>
      <c r="N2367" s="898"/>
      <c r="O2367" s="682"/>
      <c r="U2367" s="596"/>
    </row>
    <row r="2368" spans="1:21" ht="19.149999999999999" customHeight="1">
      <c r="A2368" s="886"/>
      <c r="B2368" s="887"/>
      <c r="C2368" s="888"/>
      <c r="D2368" s="889"/>
      <c r="E2368" s="890"/>
      <c r="F2368" s="891"/>
      <c r="I2368" s="893"/>
      <c r="J2368" s="894"/>
      <c r="K2368" s="895"/>
      <c r="L2368" s="895"/>
      <c r="M2368" s="895"/>
      <c r="N2368" s="898"/>
      <c r="O2368" s="682"/>
      <c r="U2368" s="596"/>
    </row>
    <row r="2369" spans="1:21" ht="19.149999999999999" customHeight="1">
      <c r="A2369" s="886"/>
      <c r="B2369" s="887"/>
      <c r="C2369" s="888"/>
      <c r="D2369" s="889"/>
      <c r="E2369" s="890"/>
      <c r="F2369" s="891"/>
      <c r="I2369" s="893"/>
      <c r="J2369" s="894"/>
      <c r="K2369" s="895"/>
      <c r="L2369" s="895"/>
      <c r="M2369" s="895"/>
      <c r="N2369" s="898"/>
      <c r="O2369" s="682"/>
      <c r="U2369" s="596"/>
    </row>
    <row r="2370" spans="1:21" ht="19.149999999999999" customHeight="1">
      <c r="A2370" s="886"/>
      <c r="B2370" s="887"/>
      <c r="C2370" s="888"/>
      <c r="D2370" s="889"/>
      <c r="E2370" s="890"/>
      <c r="F2370" s="891"/>
      <c r="I2370" s="893"/>
      <c r="J2370" s="894"/>
      <c r="K2370" s="895"/>
      <c r="L2370" s="895"/>
      <c r="M2370" s="895"/>
      <c r="N2370" s="898"/>
      <c r="O2370" s="682"/>
      <c r="U2370" s="596"/>
    </row>
    <row r="2371" spans="1:21" ht="19.149999999999999" customHeight="1">
      <c r="A2371" s="886"/>
      <c r="B2371" s="887"/>
      <c r="C2371" s="888"/>
      <c r="D2371" s="889"/>
      <c r="E2371" s="890"/>
      <c r="F2371" s="891"/>
      <c r="I2371" s="893"/>
      <c r="J2371" s="894"/>
      <c r="K2371" s="895"/>
      <c r="L2371" s="895"/>
      <c r="M2371" s="895"/>
      <c r="N2371" s="898"/>
      <c r="O2371" s="682"/>
      <c r="U2371" s="596"/>
    </row>
    <row r="2372" spans="1:21" ht="19.149999999999999" customHeight="1">
      <c r="A2372" s="886"/>
      <c r="B2372" s="887"/>
      <c r="C2372" s="888"/>
      <c r="D2372" s="889"/>
      <c r="E2372" s="890"/>
      <c r="F2372" s="891"/>
      <c r="I2372" s="893"/>
      <c r="J2372" s="894"/>
      <c r="K2372" s="895"/>
      <c r="L2372" s="895"/>
      <c r="M2372" s="895"/>
      <c r="N2372" s="898"/>
      <c r="O2372" s="682"/>
      <c r="U2372" s="596"/>
    </row>
    <row r="2373" spans="1:21" ht="19.149999999999999" customHeight="1">
      <c r="A2373" s="886"/>
      <c r="B2373" s="887"/>
      <c r="C2373" s="888"/>
      <c r="D2373" s="889"/>
      <c r="E2373" s="890"/>
      <c r="F2373" s="891"/>
      <c r="I2373" s="893"/>
      <c r="J2373" s="894"/>
      <c r="K2373" s="895"/>
      <c r="L2373" s="895"/>
      <c r="M2373" s="895"/>
      <c r="N2373" s="898"/>
      <c r="O2373" s="682"/>
      <c r="U2373" s="596"/>
    </row>
    <row r="2374" spans="1:21" ht="19.149999999999999" customHeight="1">
      <c r="A2374" s="886"/>
      <c r="B2374" s="887"/>
      <c r="C2374" s="888"/>
      <c r="D2374" s="889"/>
      <c r="E2374" s="890"/>
      <c r="F2374" s="891"/>
      <c r="I2374" s="893"/>
      <c r="J2374" s="894"/>
      <c r="K2374" s="895"/>
      <c r="L2374" s="895"/>
      <c r="M2374" s="895"/>
      <c r="N2374" s="898"/>
      <c r="O2374" s="682"/>
      <c r="U2374" s="596"/>
    </row>
    <row r="2375" spans="1:21" ht="19.149999999999999" customHeight="1">
      <c r="A2375" s="886"/>
      <c r="B2375" s="887"/>
      <c r="C2375" s="888"/>
      <c r="D2375" s="889"/>
      <c r="E2375" s="890"/>
      <c r="F2375" s="891"/>
      <c r="I2375" s="893"/>
      <c r="J2375" s="894"/>
      <c r="K2375" s="895"/>
      <c r="L2375" s="895"/>
      <c r="M2375" s="895"/>
      <c r="N2375" s="898"/>
      <c r="O2375" s="682"/>
      <c r="U2375" s="596"/>
    </row>
    <row r="2376" spans="1:21" ht="19.149999999999999" customHeight="1">
      <c r="A2376" s="886"/>
      <c r="B2376" s="887"/>
      <c r="C2376" s="888"/>
      <c r="D2376" s="889"/>
      <c r="E2376" s="890"/>
      <c r="F2376" s="891"/>
      <c r="I2376" s="893"/>
      <c r="J2376" s="894"/>
      <c r="K2376" s="895"/>
      <c r="L2376" s="895"/>
      <c r="M2376" s="895"/>
      <c r="N2376" s="898"/>
      <c r="O2376" s="682"/>
      <c r="U2376" s="596"/>
    </row>
    <row r="2377" spans="1:21" ht="19.149999999999999" customHeight="1">
      <c r="A2377" s="886"/>
      <c r="B2377" s="887"/>
      <c r="C2377" s="888"/>
      <c r="D2377" s="889"/>
      <c r="E2377" s="890"/>
      <c r="F2377" s="891"/>
      <c r="I2377" s="893"/>
      <c r="J2377" s="894"/>
      <c r="K2377" s="895"/>
      <c r="L2377" s="895"/>
      <c r="M2377" s="895"/>
      <c r="N2377" s="898"/>
      <c r="O2377" s="682"/>
      <c r="U2377" s="596"/>
    </row>
    <row r="2378" spans="1:21" ht="19.149999999999999" customHeight="1">
      <c r="A2378" s="886"/>
      <c r="B2378" s="887"/>
      <c r="C2378" s="888"/>
      <c r="D2378" s="889"/>
      <c r="E2378" s="890"/>
      <c r="F2378" s="891"/>
      <c r="I2378" s="893"/>
      <c r="J2378" s="894"/>
      <c r="K2378" s="895"/>
      <c r="L2378" s="895"/>
      <c r="M2378" s="895"/>
      <c r="N2378" s="898"/>
      <c r="O2378" s="682"/>
      <c r="U2378" s="596"/>
    </row>
    <row r="2379" spans="1:21" ht="19.149999999999999" customHeight="1">
      <c r="A2379" s="886"/>
      <c r="B2379" s="887"/>
      <c r="C2379" s="888"/>
      <c r="D2379" s="889"/>
      <c r="E2379" s="890"/>
      <c r="F2379" s="891"/>
      <c r="I2379" s="893"/>
      <c r="J2379" s="894"/>
      <c r="K2379" s="895"/>
      <c r="L2379" s="895"/>
      <c r="M2379" s="895"/>
      <c r="N2379" s="898"/>
      <c r="O2379" s="682"/>
      <c r="U2379" s="596"/>
    </row>
    <row r="2380" spans="1:21" ht="19.149999999999999" customHeight="1">
      <c r="A2380" s="886"/>
      <c r="B2380" s="887"/>
      <c r="C2380" s="888"/>
      <c r="D2380" s="889"/>
      <c r="E2380" s="890"/>
      <c r="F2380" s="891"/>
      <c r="I2380" s="893"/>
      <c r="J2380" s="894"/>
      <c r="K2380" s="895"/>
      <c r="L2380" s="895"/>
      <c r="M2380" s="895"/>
      <c r="N2380" s="898"/>
      <c r="O2380" s="682"/>
      <c r="U2380" s="596"/>
    </row>
    <row r="2381" spans="1:21" ht="19.149999999999999" customHeight="1">
      <c r="A2381" s="886"/>
      <c r="B2381" s="887"/>
      <c r="C2381" s="888"/>
      <c r="D2381" s="889"/>
      <c r="E2381" s="890"/>
      <c r="F2381" s="891"/>
      <c r="I2381" s="893"/>
      <c r="J2381" s="894"/>
      <c r="K2381" s="895"/>
      <c r="L2381" s="895"/>
      <c r="M2381" s="895"/>
      <c r="N2381" s="898"/>
      <c r="O2381" s="682"/>
      <c r="U2381" s="596"/>
    </row>
    <row r="2382" spans="1:21" ht="19.149999999999999" customHeight="1">
      <c r="A2382" s="886"/>
      <c r="B2382" s="887"/>
      <c r="C2382" s="888"/>
      <c r="D2382" s="889"/>
      <c r="E2382" s="890"/>
      <c r="F2382" s="891"/>
      <c r="I2382" s="893"/>
      <c r="J2382" s="894"/>
      <c r="K2382" s="895"/>
      <c r="L2382" s="895"/>
      <c r="M2382" s="895"/>
      <c r="N2382" s="898"/>
      <c r="O2382" s="682"/>
      <c r="U2382" s="596"/>
    </row>
    <row r="2383" spans="1:21" ht="19.149999999999999" customHeight="1">
      <c r="A2383" s="886"/>
      <c r="B2383" s="887"/>
      <c r="C2383" s="888"/>
      <c r="D2383" s="889"/>
      <c r="E2383" s="890"/>
      <c r="F2383" s="891"/>
      <c r="I2383" s="893"/>
      <c r="J2383" s="894"/>
      <c r="K2383" s="895"/>
      <c r="L2383" s="895"/>
      <c r="M2383" s="895"/>
      <c r="N2383" s="898"/>
      <c r="O2383" s="682"/>
      <c r="U2383" s="596"/>
    </row>
    <row r="2384" spans="1:21" ht="19.149999999999999" customHeight="1">
      <c r="A2384" s="886"/>
      <c r="B2384" s="887"/>
      <c r="C2384" s="888"/>
      <c r="D2384" s="889"/>
      <c r="E2384" s="890"/>
      <c r="F2384" s="891"/>
      <c r="I2384" s="893"/>
      <c r="J2384" s="894"/>
      <c r="K2384" s="895"/>
      <c r="L2384" s="895"/>
      <c r="M2384" s="895"/>
      <c r="N2384" s="898"/>
      <c r="O2384" s="682"/>
      <c r="U2384" s="596"/>
    </row>
    <row r="2385" spans="1:21" ht="19.149999999999999" customHeight="1">
      <c r="A2385" s="886"/>
      <c r="B2385" s="887"/>
      <c r="C2385" s="888"/>
      <c r="D2385" s="889"/>
      <c r="E2385" s="890"/>
      <c r="F2385" s="891"/>
      <c r="I2385" s="893"/>
      <c r="J2385" s="894"/>
      <c r="K2385" s="895"/>
      <c r="L2385" s="895"/>
      <c r="M2385" s="895"/>
      <c r="N2385" s="898"/>
      <c r="O2385" s="682"/>
      <c r="U2385" s="596"/>
    </row>
    <row r="2386" spans="1:21" ht="19.149999999999999" customHeight="1">
      <c r="A2386" s="886"/>
      <c r="B2386" s="887"/>
      <c r="C2386" s="888"/>
      <c r="D2386" s="889"/>
      <c r="E2386" s="890"/>
      <c r="F2386" s="891"/>
      <c r="I2386" s="893"/>
      <c r="J2386" s="894"/>
      <c r="K2386" s="895"/>
      <c r="L2386" s="895"/>
      <c r="M2386" s="895"/>
      <c r="N2386" s="898"/>
      <c r="O2386" s="682"/>
      <c r="U2386" s="596"/>
    </row>
    <row r="2387" spans="1:21" ht="19.149999999999999" customHeight="1">
      <c r="A2387" s="886"/>
      <c r="B2387" s="887"/>
      <c r="C2387" s="888"/>
      <c r="D2387" s="889"/>
      <c r="E2387" s="890"/>
      <c r="F2387" s="891"/>
      <c r="I2387" s="893"/>
      <c r="J2387" s="894"/>
      <c r="K2387" s="895"/>
      <c r="L2387" s="895"/>
      <c r="M2387" s="895"/>
      <c r="N2387" s="898"/>
      <c r="O2387" s="682"/>
      <c r="U2387" s="596"/>
    </row>
    <row r="2388" spans="1:21" ht="19.149999999999999" customHeight="1">
      <c r="A2388" s="886"/>
      <c r="B2388" s="887"/>
      <c r="C2388" s="888"/>
      <c r="D2388" s="889"/>
      <c r="E2388" s="890"/>
      <c r="F2388" s="891"/>
      <c r="I2388" s="893"/>
      <c r="J2388" s="894"/>
      <c r="K2388" s="895"/>
      <c r="L2388" s="895"/>
      <c r="M2388" s="895"/>
      <c r="N2388" s="898"/>
      <c r="O2388" s="682"/>
      <c r="U2388" s="596"/>
    </row>
    <row r="2389" spans="1:21" ht="19.149999999999999" customHeight="1">
      <c r="A2389" s="886"/>
      <c r="B2389" s="887"/>
      <c r="C2389" s="888"/>
      <c r="D2389" s="889"/>
      <c r="E2389" s="890"/>
      <c r="F2389" s="891"/>
      <c r="I2389" s="893"/>
      <c r="J2389" s="894"/>
      <c r="K2389" s="895"/>
      <c r="L2389" s="895"/>
      <c r="M2389" s="895"/>
      <c r="N2389" s="898"/>
      <c r="O2389" s="682"/>
      <c r="U2389" s="596"/>
    </row>
    <row r="2390" spans="1:21" ht="19.149999999999999" customHeight="1">
      <c r="A2390" s="886"/>
      <c r="B2390" s="887"/>
      <c r="C2390" s="888"/>
      <c r="D2390" s="889"/>
      <c r="E2390" s="890"/>
      <c r="F2390" s="891"/>
      <c r="I2390" s="893"/>
      <c r="J2390" s="894"/>
      <c r="K2390" s="895"/>
      <c r="L2390" s="895"/>
      <c r="M2390" s="895"/>
      <c r="N2390" s="898"/>
      <c r="O2390" s="682"/>
      <c r="U2390" s="596"/>
    </row>
    <row r="2391" spans="1:21" ht="19.149999999999999" customHeight="1">
      <c r="A2391" s="886"/>
      <c r="B2391" s="887"/>
      <c r="C2391" s="888"/>
      <c r="D2391" s="889"/>
      <c r="E2391" s="890"/>
      <c r="F2391" s="891"/>
      <c r="I2391" s="893"/>
      <c r="J2391" s="894"/>
      <c r="K2391" s="895"/>
      <c r="L2391" s="895"/>
      <c r="M2391" s="895"/>
      <c r="N2391" s="898"/>
      <c r="O2391" s="682"/>
      <c r="U2391" s="596"/>
    </row>
    <row r="2392" spans="1:21" ht="19.149999999999999" customHeight="1">
      <c r="A2392" s="886"/>
      <c r="B2392" s="887"/>
      <c r="C2392" s="888"/>
      <c r="D2392" s="889"/>
      <c r="E2392" s="890"/>
      <c r="F2392" s="891"/>
      <c r="I2392" s="893"/>
      <c r="J2392" s="894"/>
      <c r="K2392" s="895"/>
      <c r="L2392" s="895"/>
      <c r="M2392" s="895"/>
      <c r="N2392" s="898"/>
      <c r="O2392" s="682"/>
      <c r="U2392" s="596"/>
    </row>
    <row r="2393" spans="1:21" ht="19.149999999999999" customHeight="1">
      <c r="A2393" s="886"/>
      <c r="B2393" s="887"/>
      <c r="C2393" s="888"/>
      <c r="D2393" s="889"/>
      <c r="E2393" s="890"/>
      <c r="F2393" s="891"/>
      <c r="I2393" s="893"/>
      <c r="J2393" s="894"/>
      <c r="K2393" s="895"/>
      <c r="L2393" s="895"/>
      <c r="M2393" s="895"/>
      <c r="N2393" s="898"/>
      <c r="O2393" s="682"/>
      <c r="U2393" s="596"/>
    </row>
    <row r="2394" spans="1:21" ht="19.149999999999999" customHeight="1">
      <c r="A2394" s="886"/>
      <c r="B2394" s="887"/>
      <c r="C2394" s="888"/>
      <c r="D2394" s="889"/>
      <c r="E2394" s="890"/>
      <c r="F2394" s="891"/>
      <c r="I2394" s="893"/>
      <c r="J2394" s="894"/>
      <c r="K2394" s="895"/>
      <c r="L2394" s="895"/>
      <c r="M2394" s="895"/>
      <c r="N2394" s="898"/>
      <c r="O2394" s="682"/>
      <c r="U2394" s="596"/>
    </row>
    <row r="2395" spans="1:21" ht="19.149999999999999" customHeight="1">
      <c r="A2395" s="886"/>
      <c r="B2395" s="887"/>
      <c r="C2395" s="888"/>
      <c r="D2395" s="889"/>
      <c r="E2395" s="890"/>
      <c r="F2395" s="891"/>
      <c r="I2395" s="893"/>
      <c r="J2395" s="894"/>
      <c r="K2395" s="895"/>
      <c r="L2395" s="895"/>
      <c r="M2395" s="895"/>
      <c r="N2395" s="898"/>
      <c r="O2395" s="682"/>
      <c r="U2395" s="596"/>
    </row>
    <row r="2396" spans="1:21" ht="19.149999999999999" customHeight="1">
      <c r="A2396" s="886"/>
      <c r="B2396" s="887"/>
      <c r="C2396" s="888"/>
      <c r="D2396" s="889"/>
      <c r="E2396" s="890"/>
      <c r="F2396" s="891"/>
      <c r="I2396" s="893"/>
      <c r="J2396" s="894"/>
      <c r="K2396" s="895"/>
      <c r="L2396" s="895"/>
      <c r="M2396" s="895"/>
      <c r="N2396" s="898"/>
      <c r="O2396" s="682"/>
      <c r="U2396" s="596"/>
    </row>
    <row r="2397" spans="1:21" ht="19.149999999999999" customHeight="1">
      <c r="A2397" s="886"/>
      <c r="B2397" s="887"/>
      <c r="C2397" s="888"/>
      <c r="D2397" s="889"/>
      <c r="E2397" s="890"/>
      <c r="F2397" s="891"/>
      <c r="I2397" s="893"/>
      <c r="J2397" s="894"/>
      <c r="K2397" s="895"/>
      <c r="L2397" s="895"/>
      <c r="M2397" s="895"/>
      <c r="N2397" s="898"/>
      <c r="O2397" s="682"/>
      <c r="U2397" s="596"/>
    </row>
    <row r="2398" spans="1:21" ht="19.149999999999999" customHeight="1">
      <c r="A2398" s="886"/>
      <c r="B2398" s="887"/>
      <c r="C2398" s="888"/>
      <c r="D2398" s="889"/>
      <c r="E2398" s="890"/>
      <c r="F2398" s="891"/>
      <c r="I2398" s="893"/>
      <c r="J2398" s="894"/>
      <c r="K2398" s="895"/>
      <c r="L2398" s="895"/>
      <c r="M2398" s="895"/>
      <c r="N2398" s="898"/>
      <c r="O2398" s="682"/>
      <c r="U2398" s="596"/>
    </row>
    <row r="2399" spans="1:21" ht="19.149999999999999" customHeight="1">
      <c r="A2399" s="886"/>
      <c r="B2399" s="887"/>
      <c r="C2399" s="888"/>
      <c r="D2399" s="889"/>
      <c r="E2399" s="890"/>
      <c r="F2399" s="891"/>
      <c r="I2399" s="893"/>
      <c r="J2399" s="894"/>
      <c r="K2399" s="895"/>
      <c r="L2399" s="895"/>
      <c r="M2399" s="895"/>
      <c r="N2399" s="898"/>
      <c r="O2399" s="682"/>
      <c r="U2399" s="596"/>
    </row>
    <row r="2400" spans="1:21" ht="19.149999999999999" customHeight="1">
      <c r="A2400" s="886"/>
      <c r="B2400" s="887"/>
      <c r="C2400" s="888"/>
      <c r="D2400" s="889"/>
      <c r="E2400" s="890"/>
      <c r="F2400" s="891"/>
      <c r="I2400" s="893"/>
      <c r="J2400" s="894"/>
      <c r="K2400" s="895"/>
      <c r="L2400" s="895"/>
      <c r="M2400" s="895"/>
      <c r="N2400" s="898"/>
      <c r="O2400" s="682"/>
      <c r="U2400" s="596"/>
    </row>
    <row r="2401" spans="1:21" ht="19.149999999999999" customHeight="1">
      <c r="A2401" s="886"/>
      <c r="B2401" s="887"/>
      <c r="C2401" s="888"/>
      <c r="D2401" s="889"/>
      <c r="E2401" s="890"/>
      <c r="F2401" s="891"/>
      <c r="I2401" s="893"/>
      <c r="J2401" s="894"/>
      <c r="K2401" s="895"/>
      <c r="L2401" s="895"/>
      <c r="M2401" s="895"/>
      <c r="N2401" s="898"/>
      <c r="O2401" s="682"/>
      <c r="U2401" s="596"/>
    </row>
    <row r="2402" spans="1:21" ht="19.149999999999999" customHeight="1">
      <c r="A2402" s="886"/>
      <c r="B2402" s="887"/>
      <c r="C2402" s="888"/>
      <c r="D2402" s="889"/>
      <c r="E2402" s="890"/>
      <c r="F2402" s="891"/>
      <c r="I2402" s="893"/>
      <c r="J2402" s="894"/>
      <c r="K2402" s="895"/>
      <c r="L2402" s="895"/>
      <c r="M2402" s="895"/>
      <c r="N2402" s="898"/>
      <c r="O2402" s="682"/>
      <c r="U2402" s="596"/>
    </row>
    <row r="2403" spans="1:21" ht="19.149999999999999" customHeight="1">
      <c r="A2403" s="886"/>
      <c r="B2403" s="887"/>
      <c r="C2403" s="888"/>
      <c r="D2403" s="889"/>
      <c r="E2403" s="890"/>
      <c r="F2403" s="891"/>
      <c r="I2403" s="893"/>
      <c r="J2403" s="894"/>
      <c r="K2403" s="895"/>
      <c r="L2403" s="895"/>
      <c r="M2403" s="895"/>
      <c r="N2403" s="898"/>
      <c r="O2403" s="682"/>
      <c r="U2403" s="596"/>
    </row>
    <row r="2404" spans="1:21" ht="19.149999999999999" customHeight="1">
      <c r="A2404" s="886"/>
      <c r="B2404" s="887"/>
      <c r="C2404" s="888"/>
      <c r="D2404" s="889"/>
      <c r="E2404" s="890"/>
      <c r="F2404" s="891"/>
      <c r="I2404" s="893"/>
      <c r="J2404" s="894"/>
      <c r="K2404" s="895"/>
      <c r="L2404" s="895"/>
      <c r="M2404" s="895"/>
      <c r="N2404" s="898"/>
      <c r="O2404" s="682"/>
      <c r="U2404" s="596"/>
    </row>
    <row r="2405" spans="1:21" ht="19.149999999999999" customHeight="1">
      <c r="A2405" s="886"/>
      <c r="B2405" s="887"/>
      <c r="C2405" s="888"/>
      <c r="D2405" s="889"/>
      <c r="E2405" s="890"/>
      <c r="F2405" s="891"/>
      <c r="I2405" s="893"/>
      <c r="J2405" s="894"/>
      <c r="K2405" s="895"/>
      <c r="L2405" s="895"/>
      <c r="M2405" s="895"/>
      <c r="N2405" s="898"/>
      <c r="O2405" s="682"/>
      <c r="U2405" s="596"/>
    </row>
    <row r="2406" spans="1:21" ht="19.149999999999999" customHeight="1">
      <c r="A2406" s="886"/>
      <c r="B2406" s="887"/>
      <c r="C2406" s="888"/>
      <c r="D2406" s="889"/>
      <c r="E2406" s="890"/>
      <c r="F2406" s="891"/>
      <c r="I2406" s="893"/>
      <c r="J2406" s="894"/>
      <c r="K2406" s="895"/>
      <c r="L2406" s="895"/>
      <c r="M2406" s="895"/>
      <c r="N2406" s="898"/>
      <c r="O2406" s="682"/>
      <c r="U2406" s="596"/>
    </row>
    <row r="2407" spans="1:21" ht="19.149999999999999" customHeight="1">
      <c r="A2407" s="886"/>
      <c r="B2407" s="887"/>
      <c r="C2407" s="888"/>
      <c r="D2407" s="889"/>
      <c r="E2407" s="890"/>
      <c r="F2407" s="891"/>
      <c r="I2407" s="893"/>
      <c r="J2407" s="894"/>
      <c r="K2407" s="895"/>
      <c r="L2407" s="895"/>
      <c r="M2407" s="895"/>
      <c r="N2407" s="898"/>
      <c r="O2407" s="682"/>
      <c r="U2407" s="596"/>
    </row>
    <row r="2408" spans="1:21" ht="19.149999999999999" customHeight="1">
      <c r="A2408" s="886"/>
      <c r="B2408" s="887"/>
      <c r="C2408" s="888"/>
      <c r="D2408" s="889"/>
      <c r="E2408" s="890"/>
      <c r="F2408" s="891"/>
      <c r="I2408" s="893"/>
      <c r="J2408" s="894"/>
      <c r="K2408" s="895"/>
      <c r="L2408" s="895"/>
      <c r="M2408" s="895"/>
      <c r="N2408" s="898"/>
      <c r="O2408" s="682"/>
      <c r="U2408" s="596"/>
    </row>
    <row r="2409" spans="1:21" ht="19.149999999999999" customHeight="1">
      <c r="A2409" s="886"/>
      <c r="B2409" s="887"/>
      <c r="C2409" s="888"/>
      <c r="D2409" s="889"/>
      <c r="E2409" s="890"/>
      <c r="F2409" s="891"/>
      <c r="I2409" s="893"/>
      <c r="J2409" s="894"/>
      <c r="K2409" s="895"/>
      <c r="L2409" s="895"/>
      <c r="M2409" s="895"/>
      <c r="N2409" s="898"/>
      <c r="O2409" s="682"/>
      <c r="U2409" s="596"/>
    </row>
    <row r="2410" spans="1:21" ht="19.149999999999999" customHeight="1">
      <c r="A2410" s="886"/>
      <c r="B2410" s="887"/>
      <c r="C2410" s="888"/>
      <c r="D2410" s="889"/>
      <c r="E2410" s="890"/>
      <c r="F2410" s="891"/>
      <c r="I2410" s="893"/>
      <c r="J2410" s="894"/>
      <c r="K2410" s="895"/>
      <c r="L2410" s="895"/>
      <c r="M2410" s="895"/>
      <c r="N2410" s="898"/>
      <c r="O2410" s="682"/>
      <c r="U2410" s="596"/>
    </row>
    <row r="2411" spans="1:21" ht="19.149999999999999" customHeight="1">
      <c r="A2411" s="886"/>
      <c r="B2411" s="887"/>
      <c r="C2411" s="888"/>
      <c r="D2411" s="889"/>
      <c r="E2411" s="890"/>
      <c r="F2411" s="891"/>
      <c r="I2411" s="893"/>
      <c r="J2411" s="894"/>
      <c r="K2411" s="895"/>
      <c r="L2411" s="895"/>
      <c r="M2411" s="895"/>
      <c r="N2411" s="898"/>
      <c r="O2411" s="682"/>
      <c r="U2411" s="596"/>
    </row>
    <row r="2412" spans="1:21" ht="19.149999999999999" customHeight="1">
      <c r="A2412" s="886"/>
      <c r="B2412" s="887"/>
      <c r="C2412" s="888"/>
      <c r="D2412" s="889"/>
      <c r="E2412" s="890"/>
      <c r="F2412" s="891"/>
      <c r="I2412" s="893"/>
      <c r="J2412" s="894"/>
      <c r="K2412" s="895"/>
      <c r="L2412" s="895"/>
      <c r="M2412" s="895"/>
      <c r="N2412" s="898"/>
      <c r="O2412" s="682"/>
      <c r="U2412" s="596"/>
    </row>
    <row r="2413" spans="1:21" ht="19.149999999999999" customHeight="1">
      <c r="A2413" s="886"/>
      <c r="B2413" s="887"/>
      <c r="C2413" s="888"/>
      <c r="D2413" s="889"/>
      <c r="E2413" s="890"/>
      <c r="F2413" s="891"/>
      <c r="I2413" s="893"/>
      <c r="J2413" s="894"/>
      <c r="K2413" s="895"/>
      <c r="L2413" s="895"/>
      <c r="M2413" s="895"/>
      <c r="N2413" s="898"/>
      <c r="O2413" s="682"/>
      <c r="U2413" s="596"/>
    </row>
    <row r="2414" spans="1:21" ht="19.149999999999999" customHeight="1">
      <c r="A2414" s="886"/>
      <c r="B2414" s="887"/>
      <c r="C2414" s="888"/>
      <c r="D2414" s="889"/>
      <c r="E2414" s="890"/>
      <c r="F2414" s="891"/>
      <c r="I2414" s="893"/>
      <c r="J2414" s="894"/>
      <c r="K2414" s="895"/>
      <c r="L2414" s="895"/>
      <c r="M2414" s="895"/>
      <c r="N2414" s="898"/>
      <c r="O2414" s="682"/>
      <c r="U2414" s="596"/>
    </row>
    <row r="2415" spans="1:21" ht="19.149999999999999" customHeight="1">
      <c r="A2415" s="886"/>
      <c r="B2415" s="887"/>
      <c r="C2415" s="888"/>
      <c r="D2415" s="889"/>
      <c r="E2415" s="890"/>
      <c r="F2415" s="891"/>
      <c r="I2415" s="893"/>
      <c r="J2415" s="894"/>
      <c r="K2415" s="895"/>
      <c r="L2415" s="895"/>
      <c r="M2415" s="895"/>
      <c r="N2415" s="898"/>
      <c r="O2415" s="682"/>
      <c r="U2415" s="596"/>
    </row>
    <row r="2416" spans="1:21" ht="19.149999999999999" customHeight="1">
      <c r="A2416" s="886"/>
      <c r="B2416" s="887"/>
      <c r="C2416" s="888"/>
      <c r="D2416" s="889"/>
      <c r="E2416" s="890"/>
      <c r="F2416" s="891"/>
      <c r="I2416" s="893"/>
      <c r="J2416" s="894"/>
      <c r="K2416" s="895"/>
      <c r="L2416" s="895"/>
      <c r="M2416" s="895"/>
      <c r="N2416" s="898"/>
      <c r="O2416" s="682"/>
      <c r="U2416" s="596"/>
    </row>
    <row r="2417" spans="1:21" ht="19.149999999999999" customHeight="1">
      <c r="A2417" s="886"/>
      <c r="B2417" s="887"/>
      <c r="C2417" s="888"/>
      <c r="D2417" s="889"/>
      <c r="E2417" s="890"/>
      <c r="F2417" s="891"/>
      <c r="I2417" s="893"/>
      <c r="J2417" s="894"/>
      <c r="K2417" s="895"/>
      <c r="L2417" s="895"/>
      <c r="M2417" s="895"/>
      <c r="N2417" s="898"/>
      <c r="O2417" s="682"/>
      <c r="U2417" s="596"/>
    </row>
    <row r="2418" spans="1:21" ht="19.149999999999999" customHeight="1">
      <c r="A2418" s="886"/>
      <c r="B2418" s="887"/>
      <c r="C2418" s="888"/>
      <c r="D2418" s="889"/>
      <c r="E2418" s="890"/>
      <c r="F2418" s="891"/>
      <c r="I2418" s="893"/>
      <c r="J2418" s="894"/>
      <c r="K2418" s="895"/>
      <c r="L2418" s="895"/>
      <c r="M2418" s="895"/>
      <c r="N2418" s="898"/>
      <c r="O2418" s="682"/>
      <c r="U2418" s="596"/>
    </row>
    <row r="2419" spans="1:21" ht="19.149999999999999" customHeight="1">
      <c r="A2419" s="886"/>
      <c r="B2419" s="887"/>
      <c r="C2419" s="888"/>
      <c r="D2419" s="889"/>
      <c r="E2419" s="890"/>
      <c r="F2419" s="891"/>
      <c r="I2419" s="893"/>
      <c r="J2419" s="894"/>
      <c r="K2419" s="895"/>
      <c r="L2419" s="895"/>
      <c r="M2419" s="895"/>
      <c r="N2419" s="898"/>
      <c r="O2419" s="682"/>
      <c r="U2419" s="596"/>
    </row>
    <row r="2420" spans="1:21" ht="19.149999999999999" customHeight="1">
      <c r="A2420" s="886"/>
      <c r="B2420" s="887"/>
      <c r="C2420" s="888"/>
      <c r="D2420" s="889"/>
      <c r="E2420" s="890"/>
      <c r="F2420" s="891"/>
      <c r="I2420" s="893"/>
      <c r="J2420" s="894"/>
      <c r="K2420" s="895"/>
      <c r="L2420" s="895"/>
      <c r="M2420" s="895"/>
      <c r="N2420" s="898"/>
      <c r="O2420" s="682"/>
      <c r="U2420" s="596"/>
    </row>
    <row r="2421" spans="1:21" ht="19.149999999999999" customHeight="1">
      <c r="A2421" s="886"/>
      <c r="B2421" s="887"/>
      <c r="C2421" s="888"/>
      <c r="D2421" s="889"/>
      <c r="E2421" s="890"/>
      <c r="F2421" s="891"/>
      <c r="I2421" s="893"/>
      <c r="J2421" s="894"/>
      <c r="K2421" s="895"/>
      <c r="L2421" s="895"/>
      <c r="M2421" s="895"/>
      <c r="N2421" s="898"/>
      <c r="O2421" s="682"/>
      <c r="U2421" s="596"/>
    </row>
    <row r="2422" spans="1:21" ht="19.149999999999999" customHeight="1">
      <c r="A2422" s="886"/>
      <c r="B2422" s="887"/>
      <c r="C2422" s="888"/>
      <c r="D2422" s="889"/>
      <c r="E2422" s="890"/>
      <c r="F2422" s="891"/>
      <c r="I2422" s="893"/>
      <c r="J2422" s="894"/>
      <c r="K2422" s="895"/>
      <c r="L2422" s="895"/>
      <c r="M2422" s="895"/>
      <c r="N2422" s="898"/>
      <c r="O2422" s="682"/>
      <c r="U2422" s="596"/>
    </row>
    <row r="2423" spans="1:21" ht="19.149999999999999" customHeight="1">
      <c r="A2423" s="886"/>
      <c r="B2423" s="887"/>
      <c r="C2423" s="888"/>
      <c r="D2423" s="889"/>
      <c r="E2423" s="890"/>
      <c r="F2423" s="891"/>
      <c r="I2423" s="893"/>
      <c r="J2423" s="894"/>
      <c r="K2423" s="895"/>
      <c r="L2423" s="895"/>
      <c r="M2423" s="895"/>
      <c r="N2423" s="898"/>
      <c r="O2423" s="682"/>
      <c r="U2423" s="596"/>
    </row>
    <row r="2424" spans="1:21" ht="19.149999999999999" customHeight="1">
      <c r="A2424" s="886"/>
      <c r="B2424" s="887"/>
      <c r="C2424" s="888"/>
      <c r="D2424" s="889"/>
      <c r="E2424" s="890"/>
      <c r="F2424" s="891"/>
      <c r="I2424" s="893"/>
      <c r="J2424" s="894"/>
      <c r="K2424" s="895"/>
      <c r="L2424" s="895"/>
      <c r="M2424" s="895"/>
      <c r="N2424" s="898"/>
      <c r="O2424" s="682"/>
      <c r="U2424" s="596"/>
    </row>
    <row r="2425" spans="1:21" ht="19.149999999999999" customHeight="1">
      <c r="A2425" s="886"/>
      <c r="B2425" s="887"/>
      <c r="C2425" s="888"/>
      <c r="D2425" s="889"/>
      <c r="E2425" s="890"/>
      <c r="F2425" s="891"/>
      <c r="I2425" s="893"/>
      <c r="J2425" s="894"/>
      <c r="K2425" s="895"/>
      <c r="L2425" s="895"/>
      <c r="M2425" s="895"/>
      <c r="N2425" s="898"/>
      <c r="O2425" s="682"/>
      <c r="U2425" s="596"/>
    </row>
    <row r="2426" spans="1:21" ht="19.149999999999999" customHeight="1">
      <c r="A2426" s="886"/>
      <c r="B2426" s="887"/>
      <c r="C2426" s="888"/>
      <c r="D2426" s="889"/>
      <c r="E2426" s="890"/>
      <c r="F2426" s="891"/>
      <c r="I2426" s="893"/>
      <c r="J2426" s="894"/>
      <c r="K2426" s="895"/>
      <c r="L2426" s="895"/>
      <c r="M2426" s="895"/>
      <c r="N2426" s="898"/>
      <c r="O2426" s="682"/>
      <c r="U2426" s="596"/>
    </row>
    <row r="2427" spans="1:21" ht="19.149999999999999" customHeight="1">
      <c r="A2427" s="886"/>
      <c r="B2427" s="887"/>
      <c r="C2427" s="888"/>
      <c r="D2427" s="889"/>
      <c r="E2427" s="890"/>
      <c r="F2427" s="891"/>
      <c r="I2427" s="893"/>
      <c r="J2427" s="894"/>
      <c r="K2427" s="895"/>
      <c r="L2427" s="895"/>
      <c r="M2427" s="895"/>
      <c r="N2427" s="898"/>
      <c r="O2427" s="682"/>
      <c r="U2427" s="596"/>
    </row>
    <row r="2428" spans="1:21" ht="19.149999999999999" customHeight="1">
      <c r="A2428" s="886"/>
      <c r="B2428" s="887"/>
      <c r="C2428" s="888"/>
      <c r="D2428" s="889"/>
      <c r="E2428" s="890"/>
      <c r="F2428" s="891"/>
      <c r="I2428" s="893"/>
      <c r="J2428" s="894"/>
      <c r="K2428" s="895"/>
      <c r="L2428" s="895"/>
      <c r="M2428" s="895"/>
      <c r="N2428" s="898"/>
      <c r="O2428" s="682"/>
      <c r="U2428" s="596"/>
    </row>
    <row r="2429" spans="1:21" ht="19.149999999999999" customHeight="1">
      <c r="A2429" s="886"/>
      <c r="B2429" s="887"/>
      <c r="C2429" s="888"/>
      <c r="D2429" s="889"/>
      <c r="E2429" s="890"/>
      <c r="F2429" s="891"/>
      <c r="I2429" s="893"/>
      <c r="J2429" s="894"/>
      <c r="K2429" s="895"/>
      <c r="L2429" s="895"/>
      <c r="M2429" s="895"/>
      <c r="N2429" s="898"/>
      <c r="O2429" s="682"/>
      <c r="U2429" s="596"/>
    </row>
    <row r="2430" spans="1:21" ht="19.149999999999999" customHeight="1">
      <c r="A2430" s="886"/>
      <c r="B2430" s="887"/>
      <c r="C2430" s="888"/>
      <c r="D2430" s="889"/>
      <c r="E2430" s="890"/>
      <c r="F2430" s="891"/>
      <c r="I2430" s="893"/>
      <c r="J2430" s="894"/>
      <c r="K2430" s="895"/>
      <c r="L2430" s="895"/>
      <c r="M2430" s="895"/>
      <c r="N2430" s="898"/>
      <c r="O2430" s="682"/>
      <c r="U2430" s="596"/>
    </row>
    <row r="2431" spans="1:21" ht="19.149999999999999" customHeight="1">
      <c r="A2431" s="886"/>
      <c r="B2431" s="887"/>
      <c r="C2431" s="888"/>
      <c r="D2431" s="889"/>
      <c r="E2431" s="890"/>
      <c r="F2431" s="891"/>
      <c r="I2431" s="893"/>
      <c r="J2431" s="894"/>
      <c r="K2431" s="895"/>
      <c r="L2431" s="895"/>
      <c r="M2431" s="895"/>
      <c r="N2431" s="898"/>
      <c r="O2431" s="682"/>
      <c r="U2431" s="596"/>
    </row>
    <row r="2432" spans="1:21" ht="19.149999999999999" customHeight="1">
      <c r="A2432" s="886"/>
      <c r="B2432" s="887"/>
      <c r="C2432" s="888"/>
      <c r="D2432" s="889"/>
      <c r="E2432" s="890"/>
      <c r="F2432" s="891"/>
      <c r="I2432" s="893"/>
      <c r="J2432" s="894"/>
      <c r="K2432" s="895"/>
      <c r="L2432" s="895"/>
      <c r="M2432" s="895"/>
      <c r="N2432" s="898"/>
      <c r="O2432" s="682"/>
      <c r="U2432" s="596"/>
    </row>
    <row r="2433" spans="1:21" ht="19.149999999999999" customHeight="1">
      <c r="A2433" s="886"/>
      <c r="B2433" s="887"/>
      <c r="C2433" s="888"/>
      <c r="D2433" s="889"/>
      <c r="E2433" s="890"/>
      <c r="F2433" s="891"/>
      <c r="I2433" s="893"/>
      <c r="J2433" s="894"/>
      <c r="K2433" s="895"/>
      <c r="L2433" s="895"/>
      <c r="M2433" s="895"/>
      <c r="N2433" s="898"/>
      <c r="O2433" s="682"/>
      <c r="U2433" s="596"/>
    </row>
    <row r="2434" spans="1:21" ht="19.149999999999999" customHeight="1">
      <c r="A2434" s="886"/>
      <c r="B2434" s="887"/>
      <c r="C2434" s="888"/>
      <c r="D2434" s="889"/>
      <c r="E2434" s="890"/>
      <c r="F2434" s="891"/>
      <c r="I2434" s="893"/>
      <c r="J2434" s="894"/>
      <c r="K2434" s="895"/>
      <c r="L2434" s="895"/>
      <c r="M2434" s="895"/>
      <c r="N2434" s="898"/>
      <c r="O2434" s="682"/>
      <c r="U2434" s="596"/>
    </row>
    <row r="2435" spans="1:21" ht="19.149999999999999" customHeight="1">
      <c r="A2435" s="886"/>
      <c r="B2435" s="887"/>
      <c r="C2435" s="888"/>
      <c r="D2435" s="889"/>
      <c r="E2435" s="890"/>
      <c r="F2435" s="891"/>
      <c r="I2435" s="893"/>
      <c r="J2435" s="894"/>
      <c r="K2435" s="895"/>
      <c r="L2435" s="895"/>
      <c r="M2435" s="895"/>
      <c r="N2435" s="898"/>
      <c r="O2435" s="682"/>
      <c r="U2435" s="596"/>
    </row>
    <row r="2436" spans="1:21" ht="19.149999999999999" customHeight="1">
      <c r="A2436" s="886"/>
      <c r="B2436" s="887"/>
      <c r="C2436" s="888"/>
      <c r="D2436" s="889"/>
      <c r="E2436" s="890"/>
      <c r="F2436" s="891"/>
      <c r="I2436" s="893"/>
      <c r="J2436" s="894"/>
      <c r="K2436" s="895"/>
      <c r="L2436" s="895"/>
      <c r="M2436" s="895"/>
      <c r="N2436" s="898"/>
      <c r="O2436" s="682"/>
      <c r="U2436" s="596"/>
    </row>
    <row r="2437" spans="1:21" ht="19.149999999999999" customHeight="1">
      <c r="A2437" s="886"/>
      <c r="B2437" s="887"/>
      <c r="C2437" s="888"/>
      <c r="D2437" s="889"/>
      <c r="E2437" s="890"/>
      <c r="F2437" s="891"/>
      <c r="I2437" s="893"/>
      <c r="J2437" s="894"/>
      <c r="K2437" s="895"/>
      <c r="L2437" s="895"/>
      <c r="M2437" s="895"/>
      <c r="N2437" s="898"/>
      <c r="O2437" s="682"/>
      <c r="U2437" s="596"/>
    </row>
    <row r="2438" spans="1:21" ht="19.149999999999999" customHeight="1">
      <c r="A2438" s="886"/>
      <c r="B2438" s="887"/>
      <c r="C2438" s="888"/>
      <c r="D2438" s="889"/>
      <c r="E2438" s="890"/>
      <c r="F2438" s="891"/>
      <c r="I2438" s="893"/>
      <c r="J2438" s="894"/>
      <c r="K2438" s="895"/>
      <c r="L2438" s="895"/>
      <c r="M2438" s="895"/>
      <c r="N2438" s="898"/>
      <c r="O2438" s="682"/>
      <c r="U2438" s="596"/>
    </row>
    <row r="2439" spans="1:21" ht="19.149999999999999" customHeight="1">
      <c r="A2439" s="886"/>
      <c r="B2439" s="887"/>
      <c r="C2439" s="888"/>
      <c r="D2439" s="889"/>
      <c r="E2439" s="890"/>
      <c r="F2439" s="891"/>
      <c r="I2439" s="893"/>
      <c r="J2439" s="894"/>
      <c r="K2439" s="895"/>
      <c r="L2439" s="895"/>
      <c r="M2439" s="895"/>
      <c r="N2439" s="898"/>
      <c r="O2439" s="682"/>
      <c r="U2439" s="596"/>
    </row>
    <row r="2440" spans="1:21" ht="19.149999999999999" customHeight="1">
      <c r="A2440" s="886"/>
      <c r="B2440" s="887"/>
      <c r="C2440" s="888"/>
      <c r="D2440" s="889"/>
      <c r="E2440" s="890"/>
      <c r="F2440" s="891"/>
      <c r="I2440" s="893"/>
      <c r="J2440" s="894"/>
      <c r="K2440" s="895"/>
      <c r="L2440" s="895"/>
      <c r="M2440" s="895"/>
      <c r="N2440" s="898"/>
      <c r="O2440" s="682"/>
      <c r="U2440" s="596"/>
    </row>
    <row r="2441" spans="1:21" ht="19.149999999999999" customHeight="1">
      <c r="A2441" s="886"/>
      <c r="B2441" s="887"/>
      <c r="C2441" s="888"/>
      <c r="D2441" s="889"/>
      <c r="E2441" s="890"/>
      <c r="F2441" s="891"/>
      <c r="I2441" s="893"/>
      <c r="J2441" s="894"/>
      <c r="K2441" s="895"/>
      <c r="L2441" s="895"/>
      <c r="M2441" s="895"/>
      <c r="N2441" s="898"/>
      <c r="O2441" s="682"/>
      <c r="U2441" s="596"/>
    </row>
    <row r="2442" spans="1:21" ht="19.149999999999999" customHeight="1">
      <c r="A2442" s="886"/>
      <c r="B2442" s="887"/>
      <c r="C2442" s="888"/>
      <c r="D2442" s="889"/>
      <c r="E2442" s="890"/>
      <c r="F2442" s="891"/>
      <c r="I2442" s="893"/>
      <c r="J2442" s="894"/>
      <c r="K2442" s="895"/>
      <c r="L2442" s="895"/>
      <c r="M2442" s="895"/>
      <c r="N2442" s="898"/>
      <c r="O2442" s="682"/>
      <c r="U2442" s="596"/>
    </row>
    <row r="2443" spans="1:21" ht="19.149999999999999" customHeight="1">
      <c r="A2443" s="886"/>
      <c r="B2443" s="887"/>
      <c r="C2443" s="888"/>
      <c r="D2443" s="889"/>
      <c r="E2443" s="890"/>
      <c r="F2443" s="891"/>
      <c r="I2443" s="893"/>
      <c r="J2443" s="894"/>
      <c r="K2443" s="895"/>
      <c r="L2443" s="895"/>
      <c r="M2443" s="895"/>
      <c r="N2443" s="898"/>
      <c r="O2443" s="682"/>
      <c r="U2443" s="596"/>
    </row>
    <row r="2444" spans="1:21" ht="19.149999999999999" customHeight="1">
      <c r="A2444" s="886"/>
      <c r="B2444" s="887"/>
      <c r="C2444" s="888"/>
      <c r="D2444" s="889"/>
      <c r="E2444" s="890"/>
      <c r="F2444" s="891"/>
      <c r="I2444" s="893"/>
      <c r="J2444" s="894"/>
      <c r="K2444" s="895"/>
      <c r="L2444" s="895"/>
      <c r="M2444" s="895"/>
      <c r="N2444" s="898"/>
      <c r="O2444" s="682"/>
      <c r="U2444" s="596"/>
    </row>
    <row r="2445" spans="1:21" ht="19.149999999999999" customHeight="1">
      <c r="A2445" s="886"/>
      <c r="B2445" s="887"/>
      <c r="C2445" s="888"/>
      <c r="D2445" s="889"/>
      <c r="E2445" s="890"/>
      <c r="F2445" s="891"/>
      <c r="I2445" s="893"/>
      <c r="J2445" s="894"/>
      <c r="K2445" s="895"/>
      <c r="L2445" s="895"/>
      <c r="M2445" s="895"/>
      <c r="N2445" s="898"/>
      <c r="O2445" s="682"/>
      <c r="U2445" s="596"/>
    </row>
    <row r="2446" spans="1:21" ht="19.149999999999999" customHeight="1">
      <c r="A2446" s="886"/>
      <c r="B2446" s="887"/>
      <c r="C2446" s="888"/>
      <c r="D2446" s="889"/>
      <c r="E2446" s="890"/>
      <c r="F2446" s="891"/>
      <c r="I2446" s="893"/>
      <c r="J2446" s="894"/>
      <c r="K2446" s="895"/>
      <c r="L2446" s="895"/>
      <c r="M2446" s="895"/>
      <c r="N2446" s="898"/>
      <c r="O2446" s="682"/>
      <c r="U2446" s="596"/>
    </row>
    <row r="2447" spans="1:21" ht="19.149999999999999" customHeight="1">
      <c r="A2447" s="886"/>
      <c r="B2447" s="887"/>
      <c r="C2447" s="888"/>
      <c r="D2447" s="889"/>
      <c r="E2447" s="890"/>
      <c r="F2447" s="891"/>
      <c r="I2447" s="893"/>
      <c r="J2447" s="894"/>
      <c r="K2447" s="895"/>
      <c r="L2447" s="895"/>
      <c r="M2447" s="895"/>
      <c r="N2447" s="898"/>
      <c r="O2447" s="682"/>
      <c r="U2447" s="596"/>
    </row>
    <row r="2448" spans="1:21" ht="19.149999999999999" customHeight="1">
      <c r="A2448" s="886"/>
      <c r="B2448" s="887"/>
      <c r="C2448" s="888"/>
      <c r="D2448" s="889"/>
      <c r="E2448" s="890"/>
      <c r="F2448" s="891"/>
      <c r="I2448" s="893"/>
      <c r="J2448" s="894"/>
      <c r="K2448" s="895"/>
      <c r="L2448" s="895"/>
      <c r="M2448" s="895"/>
      <c r="N2448" s="898"/>
      <c r="O2448" s="682"/>
      <c r="U2448" s="596"/>
    </row>
    <row r="2449" spans="1:21" ht="19.149999999999999" customHeight="1">
      <c r="A2449" s="886"/>
      <c r="B2449" s="887"/>
      <c r="C2449" s="888"/>
      <c r="D2449" s="889"/>
      <c r="E2449" s="890"/>
      <c r="F2449" s="891"/>
      <c r="I2449" s="893"/>
      <c r="J2449" s="894"/>
      <c r="K2449" s="895"/>
      <c r="L2449" s="895"/>
      <c r="M2449" s="895"/>
      <c r="N2449" s="898"/>
      <c r="O2449" s="682"/>
      <c r="U2449" s="596"/>
    </row>
    <row r="2450" spans="1:21" ht="19.149999999999999" customHeight="1">
      <c r="A2450" s="886"/>
      <c r="B2450" s="887"/>
      <c r="C2450" s="888"/>
      <c r="D2450" s="889"/>
      <c r="E2450" s="890"/>
      <c r="F2450" s="891"/>
      <c r="I2450" s="893"/>
      <c r="J2450" s="894"/>
      <c r="K2450" s="895"/>
      <c r="L2450" s="895"/>
      <c r="M2450" s="895"/>
      <c r="N2450" s="898"/>
      <c r="O2450" s="682"/>
      <c r="U2450" s="596"/>
    </row>
    <row r="2451" spans="1:21" ht="19.149999999999999" customHeight="1">
      <c r="A2451" s="886"/>
      <c r="B2451" s="887"/>
      <c r="C2451" s="888"/>
      <c r="D2451" s="889"/>
      <c r="E2451" s="890"/>
      <c r="F2451" s="891"/>
      <c r="I2451" s="893"/>
      <c r="J2451" s="894"/>
      <c r="K2451" s="895"/>
      <c r="L2451" s="895"/>
      <c r="M2451" s="895"/>
      <c r="N2451" s="898"/>
      <c r="O2451" s="682"/>
      <c r="U2451" s="596"/>
    </row>
    <row r="2452" spans="1:21" ht="19.149999999999999" customHeight="1">
      <c r="A2452" s="886"/>
      <c r="B2452" s="887"/>
      <c r="C2452" s="888"/>
      <c r="D2452" s="889"/>
      <c r="E2452" s="890"/>
      <c r="F2452" s="891"/>
      <c r="I2452" s="893"/>
      <c r="J2452" s="894"/>
      <c r="K2452" s="895"/>
      <c r="L2452" s="895"/>
      <c r="M2452" s="895"/>
      <c r="N2452" s="898"/>
      <c r="O2452" s="682"/>
      <c r="U2452" s="596"/>
    </row>
    <row r="2453" spans="1:21" ht="19.149999999999999" customHeight="1">
      <c r="A2453" s="886"/>
      <c r="B2453" s="887"/>
      <c r="C2453" s="888"/>
      <c r="D2453" s="889"/>
      <c r="E2453" s="890"/>
      <c r="F2453" s="891"/>
      <c r="I2453" s="893"/>
      <c r="J2453" s="894"/>
      <c r="K2453" s="895"/>
      <c r="L2453" s="895"/>
      <c r="M2453" s="895"/>
      <c r="N2453" s="898"/>
      <c r="O2453" s="682"/>
      <c r="U2453" s="596"/>
    </row>
    <row r="2454" spans="1:21" ht="19.149999999999999" customHeight="1">
      <c r="A2454" s="886"/>
      <c r="B2454" s="887"/>
      <c r="C2454" s="888"/>
      <c r="D2454" s="889"/>
      <c r="E2454" s="890"/>
      <c r="F2454" s="891"/>
      <c r="I2454" s="893"/>
      <c r="J2454" s="894"/>
      <c r="K2454" s="895"/>
      <c r="L2454" s="895"/>
      <c r="M2454" s="895"/>
      <c r="N2454" s="898"/>
      <c r="O2454" s="682"/>
      <c r="U2454" s="596"/>
    </row>
    <row r="2455" spans="1:21" ht="19.149999999999999" customHeight="1">
      <c r="A2455" s="886"/>
      <c r="B2455" s="887"/>
      <c r="C2455" s="888"/>
      <c r="D2455" s="889"/>
      <c r="E2455" s="890"/>
      <c r="F2455" s="891"/>
      <c r="I2455" s="893"/>
      <c r="J2455" s="894"/>
      <c r="K2455" s="895"/>
      <c r="L2455" s="895"/>
      <c r="M2455" s="895"/>
      <c r="N2455" s="898"/>
      <c r="O2455" s="682"/>
      <c r="U2455" s="596"/>
    </row>
    <row r="2456" spans="1:21" ht="19.149999999999999" customHeight="1">
      <c r="A2456" s="886"/>
      <c r="B2456" s="887"/>
      <c r="C2456" s="888"/>
      <c r="D2456" s="889"/>
      <c r="E2456" s="890"/>
      <c r="F2456" s="891"/>
      <c r="I2456" s="893"/>
      <c r="J2456" s="894"/>
      <c r="K2456" s="895"/>
      <c r="L2456" s="895"/>
      <c r="M2456" s="895"/>
      <c r="N2456" s="898"/>
      <c r="O2456" s="682"/>
      <c r="U2456" s="596"/>
    </row>
    <row r="2457" spans="1:21" ht="19.149999999999999" customHeight="1">
      <c r="A2457" s="886"/>
      <c r="B2457" s="887"/>
      <c r="C2457" s="888"/>
      <c r="D2457" s="889"/>
      <c r="E2457" s="890"/>
      <c r="F2457" s="891"/>
      <c r="I2457" s="893"/>
      <c r="J2457" s="894"/>
      <c r="K2457" s="895"/>
      <c r="L2457" s="895"/>
      <c r="M2457" s="895"/>
      <c r="N2457" s="898"/>
      <c r="O2457" s="682"/>
      <c r="U2457" s="596"/>
    </row>
    <row r="2458" spans="1:21" ht="19.149999999999999" customHeight="1">
      <c r="A2458" s="886"/>
      <c r="B2458" s="887"/>
      <c r="C2458" s="888"/>
      <c r="D2458" s="889"/>
      <c r="E2458" s="890"/>
      <c r="F2458" s="891"/>
      <c r="I2458" s="893"/>
      <c r="J2458" s="894"/>
      <c r="K2458" s="895"/>
      <c r="L2458" s="895"/>
      <c r="M2458" s="895"/>
      <c r="N2458" s="898"/>
      <c r="O2458" s="682"/>
      <c r="U2458" s="596"/>
    </row>
    <row r="2459" spans="1:21" ht="19.149999999999999" customHeight="1">
      <c r="A2459" s="886"/>
      <c r="B2459" s="887"/>
      <c r="C2459" s="888"/>
      <c r="D2459" s="889"/>
      <c r="E2459" s="890"/>
      <c r="F2459" s="891"/>
      <c r="I2459" s="893"/>
      <c r="J2459" s="894"/>
      <c r="K2459" s="895"/>
      <c r="L2459" s="895"/>
      <c r="M2459" s="895"/>
      <c r="N2459" s="898"/>
      <c r="O2459" s="682"/>
      <c r="U2459" s="596"/>
    </row>
    <row r="2460" spans="1:21" ht="19.149999999999999" customHeight="1">
      <c r="A2460" s="886"/>
      <c r="B2460" s="887"/>
      <c r="C2460" s="888"/>
      <c r="D2460" s="889"/>
      <c r="E2460" s="890"/>
      <c r="F2460" s="891"/>
      <c r="I2460" s="893"/>
      <c r="J2460" s="894"/>
      <c r="K2460" s="895"/>
      <c r="L2460" s="895"/>
      <c r="M2460" s="895"/>
      <c r="N2460" s="898"/>
      <c r="O2460" s="682"/>
      <c r="U2460" s="596"/>
    </row>
    <row r="2461" spans="1:21" ht="19.149999999999999" customHeight="1">
      <c r="A2461" s="886"/>
      <c r="B2461" s="887"/>
      <c r="C2461" s="888"/>
      <c r="D2461" s="889"/>
      <c r="E2461" s="890"/>
      <c r="F2461" s="891"/>
      <c r="I2461" s="893"/>
      <c r="J2461" s="894"/>
      <c r="K2461" s="895"/>
      <c r="L2461" s="895"/>
      <c r="M2461" s="895"/>
      <c r="N2461" s="898"/>
      <c r="O2461" s="682"/>
      <c r="U2461" s="596"/>
    </row>
    <row r="2462" spans="1:21" ht="19.149999999999999" customHeight="1">
      <c r="A2462" s="886"/>
      <c r="B2462" s="887"/>
      <c r="C2462" s="888"/>
      <c r="D2462" s="889"/>
      <c r="E2462" s="890"/>
      <c r="F2462" s="891"/>
      <c r="I2462" s="893"/>
      <c r="J2462" s="894"/>
      <c r="K2462" s="895"/>
      <c r="L2462" s="895"/>
      <c r="M2462" s="895"/>
      <c r="N2462" s="898"/>
      <c r="O2462" s="682"/>
      <c r="U2462" s="596"/>
    </row>
    <row r="2463" spans="1:21" ht="19.149999999999999" customHeight="1">
      <c r="A2463" s="886"/>
      <c r="B2463" s="887"/>
      <c r="C2463" s="888"/>
      <c r="D2463" s="889"/>
      <c r="E2463" s="890"/>
      <c r="F2463" s="891"/>
      <c r="I2463" s="893"/>
      <c r="J2463" s="894"/>
      <c r="K2463" s="895"/>
      <c r="L2463" s="895"/>
      <c r="M2463" s="895"/>
      <c r="N2463" s="898"/>
      <c r="O2463" s="682"/>
      <c r="U2463" s="596"/>
    </row>
    <row r="2464" spans="1:21" ht="19.149999999999999" customHeight="1">
      <c r="A2464" s="886"/>
      <c r="B2464" s="887"/>
      <c r="C2464" s="888"/>
      <c r="D2464" s="889"/>
      <c r="E2464" s="890"/>
      <c r="F2464" s="891"/>
      <c r="I2464" s="893"/>
      <c r="J2464" s="894"/>
      <c r="K2464" s="895"/>
      <c r="L2464" s="895"/>
      <c r="M2464" s="895"/>
      <c r="N2464" s="898"/>
      <c r="O2464" s="682"/>
      <c r="U2464" s="596"/>
    </row>
    <row r="2465" spans="1:21" ht="19.149999999999999" customHeight="1">
      <c r="A2465" s="886"/>
      <c r="B2465" s="887"/>
      <c r="C2465" s="888"/>
      <c r="D2465" s="889"/>
      <c r="E2465" s="890"/>
      <c r="F2465" s="891"/>
      <c r="I2465" s="893"/>
      <c r="J2465" s="894"/>
      <c r="K2465" s="895"/>
      <c r="L2465" s="895"/>
      <c r="M2465" s="895"/>
      <c r="N2465" s="898"/>
      <c r="O2465" s="682"/>
      <c r="U2465" s="596"/>
    </row>
    <row r="2466" spans="1:21" ht="19.149999999999999" customHeight="1">
      <c r="A2466" s="886"/>
      <c r="B2466" s="887"/>
      <c r="C2466" s="888"/>
      <c r="D2466" s="889"/>
      <c r="E2466" s="890"/>
      <c r="F2466" s="891"/>
      <c r="I2466" s="893"/>
      <c r="J2466" s="894"/>
      <c r="K2466" s="895"/>
      <c r="L2466" s="895"/>
      <c r="M2466" s="895"/>
      <c r="N2466" s="898"/>
      <c r="O2466" s="682"/>
      <c r="U2466" s="596"/>
    </row>
    <row r="2467" spans="1:21" ht="19.149999999999999" customHeight="1">
      <c r="A2467" s="886"/>
      <c r="B2467" s="887"/>
      <c r="C2467" s="888"/>
      <c r="D2467" s="889"/>
      <c r="E2467" s="890"/>
      <c r="F2467" s="891"/>
      <c r="I2467" s="893"/>
      <c r="J2467" s="894"/>
      <c r="K2467" s="895"/>
      <c r="L2467" s="895"/>
      <c r="M2467" s="895"/>
      <c r="N2467" s="898"/>
      <c r="O2467" s="682"/>
      <c r="U2467" s="596"/>
    </row>
    <row r="2468" spans="1:21" ht="19.149999999999999" customHeight="1">
      <c r="A2468" s="886"/>
      <c r="B2468" s="887"/>
      <c r="C2468" s="888"/>
      <c r="D2468" s="889"/>
      <c r="E2468" s="890"/>
      <c r="F2468" s="891"/>
      <c r="I2468" s="893"/>
      <c r="J2468" s="894"/>
      <c r="K2468" s="895"/>
      <c r="L2468" s="895"/>
      <c r="M2468" s="895"/>
      <c r="N2468" s="898"/>
      <c r="O2468" s="682"/>
      <c r="U2468" s="596"/>
    </row>
    <row r="2469" spans="1:21" ht="19.149999999999999" customHeight="1">
      <c r="A2469" s="886"/>
      <c r="B2469" s="887"/>
      <c r="C2469" s="888"/>
      <c r="D2469" s="889"/>
      <c r="E2469" s="890"/>
      <c r="F2469" s="891"/>
      <c r="I2469" s="893"/>
      <c r="J2469" s="894"/>
      <c r="K2469" s="895"/>
      <c r="L2469" s="895"/>
      <c r="M2469" s="895"/>
      <c r="N2469" s="898"/>
      <c r="O2469" s="682"/>
      <c r="U2469" s="596"/>
    </row>
    <row r="2470" spans="1:21" ht="19.149999999999999" customHeight="1">
      <c r="A2470" s="886"/>
      <c r="B2470" s="887"/>
      <c r="C2470" s="888"/>
      <c r="D2470" s="889"/>
      <c r="E2470" s="890"/>
      <c r="F2470" s="891"/>
      <c r="I2470" s="893"/>
      <c r="J2470" s="894"/>
      <c r="K2470" s="895"/>
      <c r="L2470" s="895"/>
      <c r="M2470" s="895"/>
      <c r="N2470" s="898"/>
      <c r="O2470" s="682"/>
      <c r="U2470" s="596"/>
    </row>
    <row r="2471" spans="1:21" ht="19.149999999999999" customHeight="1">
      <c r="A2471" s="886"/>
      <c r="B2471" s="887"/>
      <c r="C2471" s="888"/>
      <c r="D2471" s="889"/>
      <c r="E2471" s="890"/>
      <c r="F2471" s="891"/>
      <c r="I2471" s="893"/>
      <c r="J2471" s="894"/>
      <c r="K2471" s="895"/>
      <c r="L2471" s="895"/>
      <c r="M2471" s="895"/>
      <c r="N2471" s="898"/>
      <c r="O2471" s="682"/>
      <c r="U2471" s="596"/>
    </row>
    <row r="2472" spans="1:21" ht="19.149999999999999" customHeight="1">
      <c r="A2472" s="886"/>
      <c r="B2472" s="887"/>
      <c r="C2472" s="888"/>
      <c r="D2472" s="889"/>
      <c r="E2472" s="890"/>
      <c r="F2472" s="891"/>
      <c r="I2472" s="893"/>
      <c r="J2472" s="894"/>
      <c r="K2472" s="895"/>
      <c r="L2472" s="895"/>
      <c r="M2472" s="895"/>
      <c r="N2472" s="898"/>
      <c r="O2472" s="682"/>
      <c r="U2472" s="596"/>
    </row>
    <row r="2473" spans="1:21" ht="19.149999999999999" customHeight="1">
      <c r="A2473" s="886"/>
      <c r="B2473" s="887"/>
      <c r="C2473" s="888"/>
      <c r="D2473" s="889"/>
      <c r="E2473" s="890"/>
      <c r="F2473" s="891"/>
      <c r="I2473" s="893"/>
      <c r="J2473" s="894"/>
      <c r="K2473" s="895"/>
      <c r="L2473" s="895"/>
      <c r="M2473" s="895"/>
      <c r="N2473" s="898"/>
      <c r="O2473" s="682"/>
      <c r="U2473" s="596"/>
    </row>
    <row r="2474" spans="1:21" ht="19.149999999999999" customHeight="1">
      <c r="A2474" s="886"/>
      <c r="B2474" s="887"/>
      <c r="C2474" s="888"/>
      <c r="D2474" s="889"/>
      <c r="E2474" s="890"/>
      <c r="F2474" s="891"/>
      <c r="I2474" s="893"/>
      <c r="J2474" s="894"/>
      <c r="K2474" s="895"/>
      <c r="L2474" s="895"/>
      <c r="M2474" s="895"/>
      <c r="N2474" s="898"/>
      <c r="O2474" s="682"/>
      <c r="U2474" s="596"/>
    </row>
    <row r="2475" spans="1:21" ht="19.149999999999999" customHeight="1">
      <c r="A2475" s="886"/>
      <c r="B2475" s="887"/>
      <c r="C2475" s="888"/>
      <c r="D2475" s="889"/>
      <c r="E2475" s="890"/>
      <c r="F2475" s="891"/>
      <c r="I2475" s="893"/>
      <c r="J2475" s="894"/>
      <c r="K2475" s="895"/>
      <c r="L2475" s="895"/>
      <c r="M2475" s="895"/>
      <c r="N2475" s="898"/>
      <c r="O2475" s="682"/>
      <c r="U2475" s="596"/>
    </row>
    <row r="2476" spans="1:21" ht="19.149999999999999" customHeight="1">
      <c r="A2476" s="886"/>
      <c r="B2476" s="887"/>
      <c r="C2476" s="888"/>
      <c r="D2476" s="889"/>
      <c r="E2476" s="890"/>
      <c r="F2476" s="891"/>
      <c r="I2476" s="893"/>
      <c r="J2476" s="894"/>
      <c r="K2476" s="895"/>
      <c r="L2476" s="895"/>
      <c r="M2476" s="895"/>
      <c r="N2476" s="898"/>
      <c r="O2476" s="682"/>
      <c r="U2476" s="596"/>
    </row>
    <row r="2477" spans="1:21" ht="19.149999999999999" customHeight="1">
      <c r="A2477" s="886"/>
      <c r="B2477" s="887"/>
      <c r="C2477" s="888"/>
      <c r="D2477" s="889"/>
      <c r="E2477" s="890"/>
      <c r="F2477" s="891"/>
      <c r="I2477" s="893"/>
      <c r="J2477" s="894"/>
      <c r="K2477" s="895"/>
      <c r="L2477" s="895"/>
      <c r="M2477" s="895"/>
      <c r="N2477" s="898"/>
      <c r="O2477" s="682"/>
      <c r="U2477" s="596"/>
    </row>
    <row r="2478" spans="1:21" ht="19.149999999999999" customHeight="1">
      <c r="A2478" s="886"/>
      <c r="B2478" s="887"/>
      <c r="C2478" s="888"/>
      <c r="D2478" s="889"/>
      <c r="E2478" s="890"/>
      <c r="F2478" s="891"/>
      <c r="I2478" s="893"/>
      <c r="J2478" s="894"/>
      <c r="K2478" s="895"/>
      <c r="L2478" s="895"/>
      <c r="M2478" s="895"/>
      <c r="N2478" s="898"/>
      <c r="O2478" s="682"/>
      <c r="U2478" s="596"/>
    </row>
    <row r="2479" spans="1:21" ht="19.149999999999999" customHeight="1">
      <c r="A2479" s="886"/>
      <c r="B2479" s="887"/>
      <c r="C2479" s="888"/>
      <c r="D2479" s="889"/>
      <c r="E2479" s="890"/>
      <c r="F2479" s="891"/>
      <c r="I2479" s="893"/>
      <c r="J2479" s="894"/>
      <c r="K2479" s="895"/>
      <c r="L2479" s="895"/>
      <c r="M2479" s="895"/>
      <c r="N2479" s="898"/>
      <c r="O2479" s="682"/>
      <c r="U2479" s="596"/>
    </row>
    <row r="2480" spans="1:21" ht="19.149999999999999" customHeight="1">
      <c r="A2480" s="886"/>
      <c r="B2480" s="887"/>
      <c r="C2480" s="888"/>
      <c r="D2480" s="889"/>
      <c r="E2480" s="890"/>
      <c r="F2480" s="891"/>
      <c r="I2480" s="893"/>
      <c r="J2480" s="894"/>
      <c r="K2480" s="895"/>
      <c r="L2480" s="895"/>
      <c r="M2480" s="895"/>
      <c r="N2480" s="898"/>
      <c r="O2480" s="682"/>
      <c r="U2480" s="596"/>
    </row>
    <row r="2481" spans="1:21" ht="19.149999999999999" customHeight="1">
      <c r="A2481" s="886"/>
      <c r="B2481" s="887"/>
      <c r="C2481" s="888"/>
      <c r="D2481" s="889"/>
      <c r="E2481" s="890"/>
      <c r="F2481" s="891"/>
      <c r="I2481" s="893"/>
      <c r="J2481" s="894"/>
      <c r="K2481" s="895"/>
      <c r="L2481" s="895"/>
      <c r="M2481" s="895"/>
      <c r="N2481" s="898"/>
      <c r="O2481" s="682"/>
      <c r="U2481" s="596"/>
    </row>
    <row r="2482" spans="1:21" ht="19.149999999999999" customHeight="1">
      <c r="A2482" s="886"/>
      <c r="B2482" s="887"/>
      <c r="C2482" s="888"/>
      <c r="D2482" s="889"/>
      <c r="E2482" s="890"/>
      <c r="F2482" s="891"/>
      <c r="I2482" s="893"/>
      <c r="J2482" s="894"/>
      <c r="K2482" s="895"/>
      <c r="L2482" s="895"/>
      <c r="M2482" s="895"/>
      <c r="N2482" s="898"/>
      <c r="O2482" s="682"/>
      <c r="U2482" s="596"/>
    </row>
    <row r="2483" spans="1:21" ht="19.149999999999999" customHeight="1">
      <c r="A2483" s="886"/>
      <c r="B2483" s="887"/>
      <c r="C2483" s="888"/>
      <c r="D2483" s="889"/>
      <c r="E2483" s="890"/>
      <c r="F2483" s="891"/>
      <c r="I2483" s="893"/>
      <c r="J2483" s="894"/>
      <c r="K2483" s="895"/>
      <c r="L2483" s="895"/>
      <c r="M2483" s="895"/>
      <c r="N2483" s="898"/>
      <c r="O2483" s="682"/>
      <c r="U2483" s="596"/>
    </row>
    <row r="2484" spans="1:21" ht="19.149999999999999" customHeight="1">
      <c r="A2484" s="886"/>
      <c r="B2484" s="887"/>
      <c r="C2484" s="888"/>
      <c r="D2484" s="889"/>
      <c r="E2484" s="890"/>
      <c r="F2484" s="891"/>
      <c r="I2484" s="893"/>
      <c r="J2484" s="894"/>
      <c r="K2484" s="895"/>
      <c r="L2484" s="895"/>
      <c r="M2484" s="895"/>
      <c r="N2484" s="898"/>
      <c r="O2484" s="682"/>
      <c r="U2484" s="596"/>
    </row>
    <row r="2485" spans="1:21" ht="19.149999999999999" customHeight="1">
      <c r="A2485" s="886"/>
      <c r="B2485" s="887"/>
      <c r="C2485" s="888"/>
      <c r="D2485" s="889"/>
      <c r="E2485" s="890"/>
      <c r="F2485" s="891"/>
      <c r="I2485" s="893"/>
      <c r="J2485" s="894"/>
      <c r="K2485" s="895"/>
      <c r="L2485" s="895"/>
      <c r="M2485" s="895"/>
      <c r="N2485" s="898"/>
      <c r="O2485" s="682"/>
      <c r="U2485" s="596"/>
    </row>
    <row r="2486" spans="1:21" ht="19.149999999999999" customHeight="1">
      <c r="A2486" s="886"/>
      <c r="B2486" s="887"/>
      <c r="C2486" s="888"/>
      <c r="D2486" s="889"/>
      <c r="E2486" s="890"/>
      <c r="F2486" s="891"/>
      <c r="I2486" s="893"/>
      <c r="J2486" s="894"/>
      <c r="K2486" s="895"/>
      <c r="L2486" s="895"/>
      <c r="M2486" s="895"/>
      <c r="N2486" s="898"/>
      <c r="O2486" s="682"/>
      <c r="U2486" s="596"/>
    </row>
    <row r="2487" spans="1:21" ht="19.149999999999999" customHeight="1">
      <c r="A2487" s="886"/>
      <c r="B2487" s="887"/>
      <c r="C2487" s="888"/>
      <c r="D2487" s="889"/>
      <c r="E2487" s="890"/>
      <c r="F2487" s="891"/>
      <c r="I2487" s="893"/>
      <c r="J2487" s="894"/>
      <c r="K2487" s="895"/>
      <c r="L2487" s="895"/>
      <c r="M2487" s="895"/>
      <c r="N2487" s="898"/>
      <c r="O2487" s="682"/>
      <c r="U2487" s="596"/>
    </row>
    <row r="2488" spans="1:21" ht="19.149999999999999" customHeight="1">
      <c r="A2488" s="886"/>
      <c r="B2488" s="887"/>
      <c r="C2488" s="888"/>
      <c r="D2488" s="889"/>
      <c r="E2488" s="890"/>
      <c r="F2488" s="891"/>
      <c r="I2488" s="893"/>
      <c r="J2488" s="894"/>
      <c r="K2488" s="895"/>
      <c r="L2488" s="895"/>
      <c r="M2488" s="895"/>
      <c r="N2488" s="898"/>
      <c r="O2488" s="682"/>
      <c r="U2488" s="596"/>
    </row>
    <row r="2489" spans="1:21" ht="19.149999999999999" customHeight="1">
      <c r="A2489" s="886"/>
      <c r="B2489" s="887"/>
      <c r="C2489" s="888"/>
      <c r="D2489" s="889"/>
      <c r="E2489" s="890"/>
      <c r="F2489" s="891"/>
      <c r="I2489" s="893"/>
      <c r="J2489" s="894"/>
      <c r="K2489" s="895"/>
      <c r="L2489" s="895"/>
      <c r="M2489" s="895"/>
      <c r="N2489" s="898"/>
      <c r="O2489" s="682"/>
      <c r="U2489" s="596"/>
    </row>
    <row r="2490" spans="1:21" ht="19.149999999999999" customHeight="1">
      <c r="A2490" s="886"/>
      <c r="B2490" s="887"/>
      <c r="C2490" s="888"/>
      <c r="D2490" s="889"/>
      <c r="E2490" s="890"/>
      <c r="F2490" s="891"/>
      <c r="I2490" s="893"/>
      <c r="J2490" s="894"/>
      <c r="K2490" s="895"/>
      <c r="L2490" s="895"/>
      <c r="M2490" s="895"/>
      <c r="N2490" s="898"/>
      <c r="O2490" s="682"/>
      <c r="U2490" s="596"/>
    </row>
    <row r="2491" spans="1:21" ht="19.149999999999999" customHeight="1">
      <c r="A2491" s="886"/>
      <c r="B2491" s="887"/>
      <c r="C2491" s="888"/>
      <c r="D2491" s="889"/>
      <c r="E2491" s="890"/>
      <c r="F2491" s="891"/>
      <c r="I2491" s="893"/>
      <c r="J2491" s="894"/>
      <c r="K2491" s="895"/>
      <c r="L2491" s="895"/>
      <c r="M2491" s="895"/>
      <c r="N2491" s="898"/>
      <c r="O2491" s="682"/>
      <c r="U2491" s="596"/>
    </row>
    <row r="2492" spans="1:21" ht="19.149999999999999" customHeight="1">
      <c r="A2492" s="886"/>
      <c r="B2492" s="887"/>
      <c r="C2492" s="888"/>
      <c r="D2492" s="889"/>
      <c r="E2492" s="890"/>
      <c r="F2492" s="891"/>
      <c r="I2492" s="893"/>
      <c r="J2492" s="894"/>
      <c r="K2492" s="895"/>
      <c r="L2492" s="895"/>
      <c r="M2492" s="895"/>
      <c r="N2492" s="898"/>
      <c r="O2492" s="682"/>
      <c r="U2492" s="596"/>
    </row>
    <row r="2493" spans="1:21" ht="19.149999999999999" customHeight="1">
      <c r="A2493" s="886"/>
      <c r="B2493" s="887"/>
      <c r="C2493" s="888"/>
      <c r="D2493" s="889"/>
      <c r="E2493" s="890"/>
      <c r="F2493" s="891"/>
      <c r="I2493" s="893"/>
      <c r="J2493" s="894"/>
      <c r="K2493" s="895"/>
      <c r="L2493" s="895"/>
      <c r="M2493" s="895"/>
      <c r="N2493" s="898"/>
      <c r="O2493" s="682"/>
      <c r="U2493" s="596"/>
    </row>
    <row r="2494" spans="1:21" ht="19.149999999999999" customHeight="1">
      <c r="A2494" s="886"/>
      <c r="B2494" s="887"/>
      <c r="C2494" s="888"/>
      <c r="D2494" s="889"/>
      <c r="E2494" s="890"/>
      <c r="F2494" s="891"/>
      <c r="I2494" s="893"/>
      <c r="J2494" s="894"/>
      <c r="K2494" s="895"/>
      <c r="L2494" s="895"/>
      <c r="M2494" s="895"/>
      <c r="N2494" s="898"/>
      <c r="O2494" s="682"/>
      <c r="U2494" s="596"/>
    </row>
    <row r="2495" spans="1:21" ht="19.149999999999999" customHeight="1">
      <c r="A2495" s="886"/>
      <c r="B2495" s="887"/>
      <c r="C2495" s="888"/>
      <c r="D2495" s="889"/>
      <c r="E2495" s="890"/>
      <c r="F2495" s="891"/>
      <c r="I2495" s="893"/>
      <c r="J2495" s="894"/>
      <c r="K2495" s="895"/>
      <c r="L2495" s="895"/>
      <c r="M2495" s="895"/>
      <c r="N2495" s="898"/>
      <c r="O2495" s="682"/>
      <c r="U2495" s="596"/>
    </row>
    <row r="2496" spans="1:21" ht="19.149999999999999" customHeight="1">
      <c r="A2496" s="886"/>
      <c r="B2496" s="887"/>
      <c r="C2496" s="888"/>
      <c r="D2496" s="889"/>
      <c r="E2496" s="890"/>
      <c r="F2496" s="891"/>
      <c r="I2496" s="893"/>
      <c r="J2496" s="894"/>
      <c r="K2496" s="895"/>
      <c r="L2496" s="895"/>
      <c r="M2496" s="895"/>
      <c r="N2496" s="898"/>
      <c r="O2496" s="682"/>
      <c r="U2496" s="596"/>
    </row>
    <row r="2497" spans="1:21" ht="19.149999999999999" customHeight="1">
      <c r="A2497" s="886"/>
      <c r="B2497" s="887"/>
      <c r="C2497" s="888"/>
      <c r="D2497" s="889"/>
      <c r="E2497" s="890"/>
      <c r="F2497" s="891"/>
      <c r="I2497" s="893"/>
      <c r="J2497" s="894"/>
      <c r="K2497" s="895"/>
      <c r="L2497" s="895"/>
      <c r="M2497" s="895"/>
      <c r="N2497" s="898"/>
      <c r="O2497" s="682"/>
      <c r="U2497" s="596"/>
    </row>
    <row r="2498" spans="1:21" ht="19.149999999999999" customHeight="1">
      <c r="A2498" s="886"/>
      <c r="B2498" s="887"/>
      <c r="C2498" s="888"/>
      <c r="D2498" s="889"/>
      <c r="E2498" s="890"/>
      <c r="F2498" s="891"/>
      <c r="I2498" s="893"/>
      <c r="J2498" s="894"/>
      <c r="K2498" s="895"/>
      <c r="L2498" s="895"/>
      <c r="M2498" s="895"/>
      <c r="N2498" s="898"/>
      <c r="O2498" s="682"/>
      <c r="U2498" s="596"/>
    </row>
    <row r="2499" spans="1:21" ht="19.149999999999999" customHeight="1">
      <c r="A2499" s="886"/>
      <c r="B2499" s="887"/>
      <c r="C2499" s="888"/>
      <c r="D2499" s="889"/>
      <c r="E2499" s="890"/>
      <c r="F2499" s="891"/>
      <c r="I2499" s="893"/>
      <c r="J2499" s="894"/>
      <c r="K2499" s="895"/>
      <c r="L2499" s="895"/>
      <c r="M2499" s="895"/>
      <c r="N2499" s="898"/>
      <c r="O2499" s="682"/>
      <c r="U2499" s="596"/>
    </row>
    <row r="2500" spans="1:21" ht="19.149999999999999" customHeight="1">
      <c r="A2500" s="886"/>
      <c r="B2500" s="887"/>
      <c r="C2500" s="888"/>
      <c r="D2500" s="889"/>
      <c r="E2500" s="890"/>
      <c r="F2500" s="891"/>
      <c r="I2500" s="893"/>
      <c r="J2500" s="894"/>
      <c r="K2500" s="895"/>
      <c r="L2500" s="895"/>
      <c r="M2500" s="895"/>
      <c r="N2500" s="898"/>
      <c r="O2500" s="682"/>
      <c r="U2500" s="596"/>
    </row>
    <row r="2501" spans="1:21" ht="19.149999999999999" customHeight="1">
      <c r="A2501" s="886"/>
      <c r="B2501" s="887"/>
      <c r="C2501" s="888"/>
      <c r="D2501" s="889"/>
      <c r="E2501" s="890"/>
      <c r="F2501" s="891"/>
      <c r="I2501" s="893"/>
      <c r="J2501" s="894"/>
      <c r="K2501" s="895"/>
      <c r="L2501" s="895"/>
      <c r="M2501" s="895"/>
      <c r="N2501" s="898"/>
      <c r="O2501" s="682"/>
      <c r="U2501" s="596"/>
    </row>
    <row r="2502" spans="1:21" ht="19.149999999999999" customHeight="1">
      <c r="A2502" s="886"/>
      <c r="B2502" s="887"/>
      <c r="C2502" s="888"/>
      <c r="D2502" s="889"/>
      <c r="E2502" s="890"/>
      <c r="F2502" s="891"/>
      <c r="I2502" s="893"/>
      <c r="J2502" s="894"/>
      <c r="K2502" s="895"/>
      <c r="L2502" s="895"/>
      <c r="M2502" s="895"/>
      <c r="N2502" s="898"/>
      <c r="O2502" s="682"/>
      <c r="U2502" s="596"/>
    </row>
    <row r="2503" spans="1:21" ht="19.149999999999999" customHeight="1">
      <c r="A2503" s="886"/>
      <c r="B2503" s="887"/>
      <c r="C2503" s="888"/>
      <c r="D2503" s="889"/>
      <c r="E2503" s="890"/>
      <c r="F2503" s="891"/>
      <c r="I2503" s="893"/>
      <c r="J2503" s="894"/>
      <c r="K2503" s="895"/>
      <c r="L2503" s="895"/>
      <c r="M2503" s="895"/>
      <c r="N2503" s="898"/>
      <c r="O2503" s="682"/>
      <c r="U2503" s="596"/>
    </row>
    <row r="2504" spans="1:21" ht="19.149999999999999" customHeight="1">
      <c r="A2504" s="886"/>
      <c r="B2504" s="887"/>
      <c r="C2504" s="888"/>
      <c r="D2504" s="889"/>
      <c r="E2504" s="890"/>
      <c r="F2504" s="891"/>
      <c r="I2504" s="893"/>
      <c r="J2504" s="894"/>
      <c r="K2504" s="895"/>
      <c r="L2504" s="895"/>
      <c r="M2504" s="895"/>
      <c r="N2504" s="898"/>
      <c r="O2504" s="682"/>
      <c r="U2504" s="596"/>
    </row>
    <row r="2505" spans="1:21" ht="19.149999999999999" customHeight="1">
      <c r="A2505" s="886"/>
      <c r="B2505" s="887"/>
      <c r="C2505" s="888"/>
      <c r="D2505" s="889"/>
      <c r="E2505" s="890"/>
      <c r="F2505" s="891"/>
      <c r="I2505" s="893"/>
      <c r="J2505" s="894"/>
      <c r="K2505" s="895"/>
      <c r="L2505" s="895"/>
      <c r="M2505" s="895"/>
      <c r="N2505" s="898"/>
      <c r="O2505" s="682"/>
      <c r="U2505" s="596"/>
    </row>
    <row r="2506" spans="1:21" ht="19.149999999999999" customHeight="1">
      <c r="A2506" s="886"/>
      <c r="B2506" s="887"/>
      <c r="C2506" s="888"/>
      <c r="D2506" s="889"/>
      <c r="E2506" s="890"/>
      <c r="F2506" s="891"/>
      <c r="I2506" s="893"/>
      <c r="J2506" s="894"/>
      <c r="K2506" s="895"/>
      <c r="L2506" s="895"/>
      <c r="M2506" s="895"/>
      <c r="N2506" s="898"/>
      <c r="O2506" s="682"/>
      <c r="U2506" s="596"/>
    </row>
    <row r="2507" spans="1:21" ht="19.149999999999999" customHeight="1">
      <c r="A2507" s="886"/>
      <c r="B2507" s="887"/>
      <c r="C2507" s="888"/>
      <c r="D2507" s="889"/>
      <c r="E2507" s="890"/>
      <c r="F2507" s="891"/>
      <c r="I2507" s="893"/>
      <c r="J2507" s="894"/>
      <c r="K2507" s="895"/>
      <c r="L2507" s="895"/>
      <c r="M2507" s="895"/>
      <c r="N2507" s="898"/>
      <c r="O2507" s="682"/>
      <c r="U2507" s="596"/>
    </row>
    <row r="2508" spans="1:21" ht="19.149999999999999" customHeight="1">
      <c r="A2508" s="886"/>
      <c r="B2508" s="887"/>
      <c r="C2508" s="888"/>
      <c r="D2508" s="889"/>
      <c r="E2508" s="890"/>
      <c r="F2508" s="891"/>
      <c r="I2508" s="893"/>
      <c r="J2508" s="894"/>
      <c r="K2508" s="895"/>
      <c r="L2508" s="895"/>
      <c r="M2508" s="895"/>
      <c r="N2508" s="898"/>
      <c r="O2508" s="682"/>
      <c r="U2508" s="596"/>
    </row>
    <row r="2509" spans="1:21" ht="19.149999999999999" customHeight="1">
      <c r="A2509" s="886"/>
      <c r="B2509" s="887"/>
      <c r="C2509" s="888"/>
      <c r="D2509" s="889"/>
      <c r="E2509" s="890"/>
      <c r="F2509" s="891"/>
      <c r="I2509" s="893"/>
      <c r="J2509" s="894"/>
      <c r="K2509" s="895"/>
      <c r="L2509" s="895"/>
      <c r="M2509" s="895"/>
      <c r="N2509" s="898"/>
      <c r="O2509" s="682"/>
      <c r="U2509" s="596"/>
    </row>
    <row r="2510" spans="1:21" ht="19.149999999999999" customHeight="1">
      <c r="A2510" s="886"/>
      <c r="B2510" s="887"/>
      <c r="C2510" s="888"/>
      <c r="D2510" s="889"/>
      <c r="E2510" s="890"/>
      <c r="F2510" s="891"/>
      <c r="I2510" s="893"/>
      <c r="J2510" s="894"/>
      <c r="K2510" s="895"/>
      <c r="L2510" s="895"/>
      <c r="M2510" s="895"/>
      <c r="N2510" s="898"/>
      <c r="O2510" s="682"/>
      <c r="U2510" s="596"/>
    </row>
    <row r="2511" spans="1:21" ht="19.149999999999999" customHeight="1">
      <c r="A2511" s="886"/>
      <c r="B2511" s="887"/>
      <c r="C2511" s="888"/>
      <c r="D2511" s="889"/>
      <c r="E2511" s="890"/>
      <c r="F2511" s="891"/>
      <c r="I2511" s="893"/>
      <c r="J2511" s="894"/>
      <c r="K2511" s="895"/>
      <c r="L2511" s="895"/>
      <c r="M2511" s="895"/>
      <c r="N2511" s="898"/>
      <c r="O2511" s="682"/>
      <c r="U2511" s="596"/>
    </row>
    <row r="2512" spans="1:21" ht="19.149999999999999" customHeight="1">
      <c r="A2512" s="886"/>
      <c r="B2512" s="887"/>
      <c r="C2512" s="888"/>
      <c r="D2512" s="889"/>
      <c r="E2512" s="890"/>
      <c r="F2512" s="891"/>
      <c r="I2512" s="893"/>
      <c r="J2512" s="894"/>
      <c r="K2512" s="895"/>
      <c r="L2512" s="895"/>
      <c r="M2512" s="895"/>
      <c r="N2512" s="898"/>
      <c r="O2512" s="682"/>
      <c r="U2512" s="596"/>
    </row>
    <row r="2513" spans="1:21" ht="19.149999999999999" customHeight="1">
      <c r="A2513" s="886"/>
      <c r="B2513" s="887"/>
      <c r="C2513" s="888"/>
      <c r="D2513" s="889"/>
      <c r="E2513" s="890"/>
      <c r="F2513" s="891"/>
      <c r="I2513" s="893"/>
      <c r="J2513" s="894"/>
      <c r="K2513" s="895"/>
      <c r="L2513" s="895"/>
      <c r="M2513" s="895"/>
      <c r="N2513" s="898"/>
      <c r="O2513" s="682"/>
      <c r="U2513" s="596"/>
    </row>
    <row r="2514" spans="1:21" ht="19.149999999999999" customHeight="1">
      <c r="A2514" s="886"/>
      <c r="B2514" s="887"/>
      <c r="C2514" s="888"/>
      <c r="D2514" s="889"/>
      <c r="E2514" s="890"/>
      <c r="F2514" s="891"/>
      <c r="I2514" s="893"/>
      <c r="J2514" s="894"/>
      <c r="K2514" s="895"/>
      <c r="L2514" s="895"/>
      <c r="M2514" s="895"/>
      <c r="N2514" s="898"/>
      <c r="O2514" s="682"/>
      <c r="U2514" s="596"/>
    </row>
    <row r="2515" spans="1:21" ht="19.149999999999999" customHeight="1">
      <c r="A2515" s="886"/>
      <c r="B2515" s="887"/>
      <c r="C2515" s="888"/>
      <c r="D2515" s="889"/>
      <c r="E2515" s="890"/>
      <c r="F2515" s="891"/>
      <c r="I2515" s="893"/>
      <c r="J2515" s="894"/>
      <c r="K2515" s="895"/>
      <c r="L2515" s="895"/>
      <c r="M2515" s="895"/>
      <c r="N2515" s="898"/>
      <c r="O2515" s="682"/>
      <c r="U2515" s="596"/>
    </row>
    <row r="2516" spans="1:21" ht="19.149999999999999" customHeight="1">
      <c r="A2516" s="886"/>
      <c r="B2516" s="887"/>
      <c r="C2516" s="888"/>
      <c r="D2516" s="889"/>
      <c r="E2516" s="890"/>
      <c r="F2516" s="891"/>
      <c r="I2516" s="893"/>
      <c r="J2516" s="894"/>
      <c r="K2516" s="895"/>
      <c r="L2516" s="895"/>
      <c r="M2516" s="895"/>
      <c r="N2516" s="898"/>
      <c r="O2516" s="682"/>
      <c r="U2516" s="596"/>
    </row>
    <row r="2517" spans="1:21" ht="19.149999999999999" customHeight="1">
      <c r="A2517" s="886"/>
      <c r="B2517" s="887"/>
      <c r="C2517" s="888"/>
      <c r="D2517" s="889"/>
      <c r="E2517" s="890"/>
      <c r="F2517" s="891"/>
      <c r="I2517" s="893"/>
      <c r="J2517" s="894"/>
      <c r="K2517" s="895"/>
      <c r="L2517" s="895"/>
      <c r="M2517" s="895"/>
      <c r="N2517" s="898"/>
      <c r="O2517" s="682"/>
      <c r="U2517" s="596"/>
    </row>
    <row r="2518" spans="1:21" ht="19.149999999999999" customHeight="1">
      <c r="A2518" s="886"/>
      <c r="B2518" s="887"/>
      <c r="C2518" s="888"/>
      <c r="D2518" s="889"/>
      <c r="E2518" s="890"/>
      <c r="F2518" s="891"/>
      <c r="I2518" s="893"/>
      <c r="J2518" s="894"/>
      <c r="K2518" s="895"/>
      <c r="L2518" s="895"/>
      <c r="M2518" s="895"/>
      <c r="N2518" s="898"/>
      <c r="O2518" s="682"/>
      <c r="U2518" s="596"/>
    </row>
    <row r="2519" spans="1:21" ht="19.149999999999999" customHeight="1">
      <c r="A2519" s="886"/>
      <c r="B2519" s="887"/>
      <c r="C2519" s="888"/>
      <c r="D2519" s="889"/>
      <c r="E2519" s="890"/>
      <c r="F2519" s="891"/>
      <c r="I2519" s="893"/>
      <c r="J2519" s="894"/>
      <c r="K2519" s="895"/>
      <c r="L2519" s="895"/>
      <c r="M2519" s="895"/>
      <c r="N2519" s="898"/>
      <c r="O2519" s="682"/>
      <c r="U2519" s="596"/>
    </row>
    <row r="2520" spans="1:21" ht="19.149999999999999" customHeight="1">
      <c r="A2520" s="886"/>
      <c r="B2520" s="887"/>
      <c r="C2520" s="888"/>
      <c r="D2520" s="889"/>
      <c r="E2520" s="890"/>
      <c r="F2520" s="891"/>
      <c r="I2520" s="893"/>
      <c r="J2520" s="894"/>
      <c r="K2520" s="895"/>
      <c r="L2520" s="895"/>
      <c r="M2520" s="895"/>
      <c r="N2520" s="898"/>
      <c r="O2520" s="682"/>
      <c r="U2520" s="596"/>
    </row>
    <row r="2521" spans="1:21" ht="19.149999999999999" customHeight="1">
      <c r="A2521" s="886"/>
      <c r="B2521" s="887"/>
      <c r="C2521" s="888"/>
      <c r="D2521" s="889"/>
      <c r="E2521" s="890"/>
      <c r="F2521" s="891"/>
      <c r="I2521" s="893"/>
      <c r="J2521" s="894"/>
      <c r="K2521" s="895"/>
      <c r="L2521" s="895"/>
      <c r="M2521" s="895"/>
      <c r="N2521" s="898"/>
      <c r="O2521" s="682"/>
      <c r="U2521" s="596"/>
    </row>
    <row r="2522" spans="1:21" ht="19.149999999999999" customHeight="1">
      <c r="A2522" s="886"/>
      <c r="B2522" s="887"/>
      <c r="C2522" s="888"/>
      <c r="D2522" s="889"/>
      <c r="E2522" s="890"/>
      <c r="F2522" s="891"/>
      <c r="I2522" s="893"/>
      <c r="J2522" s="894"/>
      <c r="K2522" s="895"/>
      <c r="L2522" s="895"/>
      <c r="M2522" s="895"/>
      <c r="N2522" s="898"/>
      <c r="O2522" s="682"/>
      <c r="U2522" s="596"/>
    </row>
    <row r="2523" spans="1:21" ht="19.149999999999999" customHeight="1">
      <c r="A2523" s="886"/>
      <c r="B2523" s="887"/>
      <c r="C2523" s="888"/>
      <c r="D2523" s="889"/>
      <c r="E2523" s="890"/>
      <c r="F2523" s="891"/>
      <c r="I2523" s="893"/>
      <c r="J2523" s="894"/>
      <c r="K2523" s="895"/>
      <c r="L2523" s="895"/>
      <c r="M2523" s="895"/>
      <c r="N2523" s="898"/>
      <c r="O2523" s="682"/>
      <c r="U2523" s="596"/>
    </row>
    <row r="2524" spans="1:21" ht="19.149999999999999" customHeight="1">
      <c r="A2524" s="886"/>
      <c r="B2524" s="887"/>
      <c r="C2524" s="888"/>
      <c r="D2524" s="889"/>
      <c r="E2524" s="890"/>
      <c r="F2524" s="891"/>
      <c r="I2524" s="893"/>
      <c r="J2524" s="894"/>
      <c r="K2524" s="895"/>
      <c r="L2524" s="895"/>
      <c r="M2524" s="895"/>
      <c r="N2524" s="898"/>
      <c r="O2524" s="682"/>
      <c r="U2524" s="596"/>
    </row>
    <row r="2525" spans="1:21" ht="19.149999999999999" customHeight="1">
      <c r="A2525" s="886"/>
      <c r="B2525" s="887"/>
      <c r="C2525" s="888"/>
      <c r="D2525" s="889"/>
      <c r="E2525" s="890"/>
      <c r="F2525" s="891"/>
      <c r="I2525" s="893"/>
      <c r="J2525" s="894"/>
      <c r="K2525" s="895"/>
      <c r="L2525" s="895"/>
      <c r="M2525" s="895"/>
      <c r="N2525" s="898"/>
      <c r="O2525" s="682"/>
      <c r="U2525" s="596"/>
    </row>
    <row r="2526" spans="1:21" ht="19.149999999999999" customHeight="1">
      <c r="A2526" s="886"/>
      <c r="B2526" s="887"/>
      <c r="C2526" s="888"/>
      <c r="D2526" s="889"/>
      <c r="E2526" s="890"/>
      <c r="F2526" s="891"/>
      <c r="I2526" s="893"/>
      <c r="J2526" s="894"/>
      <c r="K2526" s="895"/>
      <c r="L2526" s="895"/>
      <c r="M2526" s="895"/>
      <c r="N2526" s="898"/>
      <c r="O2526" s="682"/>
      <c r="U2526" s="596"/>
    </row>
    <row r="2527" spans="1:21" ht="19.149999999999999" customHeight="1">
      <c r="A2527" s="886"/>
      <c r="B2527" s="887"/>
      <c r="C2527" s="888"/>
      <c r="D2527" s="889"/>
      <c r="E2527" s="890"/>
      <c r="F2527" s="891"/>
      <c r="I2527" s="893"/>
      <c r="J2527" s="894"/>
      <c r="K2527" s="895"/>
      <c r="L2527" s="895"/>
      <c r="M2527" s="895"/>
      <c r="N2527" s="898"/>
      <c r="O2527" s="682"/>
      <c r="U2527" s="596"/>
    </row>
    <row r="2528" spans="1:21" ht="19.149999999999999" customHeight="1">
      <c r="A2528" s="886"/>
      <c r="B2528" s="887"/>
      <c r="C2528" s="888"/>
      <c r="D2528" s="889"/>
      <c r="E2528" s="890"/>
      <c r="F2528" s="891"/>
      <c r="I2528" s="893"/>
      <c r="J2528" s="894"/>
      <c r="K2528" s="895"/>
      <c r="L2528" s="895"/>
      <c r="M2528" s="895"/>
      <c r="N2528" s="898"/>
      <c r="O2528" s="682"/>
      <c r="U2528" s="596"/>
    </row>
    <row r="2529" spans="1:21" ht="19.149999999999999" customHeight="1">
      <c r="A2529" s="886"/>
      <c r="B2529" s="887"/>
      <c r="C2529" s="888"/>
      <c r="D2529" s="889"/>
      <c r="E2529" s="890"/>
      <c r="F2529" s="891"/>
      <c r="I2529" s="893"/>
      <c r="J2529" s="894"/>
      <c r="K2529" s="895"/>
      <c r="L2529" s="895"/>
      <c r="M2529" s="895"/>
      <c r="N2529" s="898"/>
      <c r="O2529" s="682"/>
      <c r="U2529" s="596"/>
    </row>
    <row r="2530" spans="1:21" ht="19.149999999999999" customHeight="1">
      <c r="A2530" s="886"/>
      <c r="B2530" s="887"/>
      <c r="C2530" s="888"/>
      <c r="D2530" s="889"/>
      <c r="E2530" s="890"/>
      <c r="F2530" s="891"/>
      <c r="I2530" s="893"/>
      <c r="J2530" s="894"/>
      <c r="K2530" s="895"/>
      <c r="L2530" s="895"/>
      <c r="M2530" s="895"/>
      <c r="N2530" s="898"/>
      <c r="O2530" s="682"/>
      <c r="U2530" s="596"/>
    </row>
    <row r="2531" spans="1:21" ht="19.149999999999999" customHeight="1">
      <c r="A2531" s="886"/>
      <c r="B2531" s="887"/>
      <c r="C2531" s="888"/>
      <c r="D2531" s="889"/>
      <c r="E2531" s="890"/>
      <c r="F2531" s="891"/>
      <c r="I2531" s="893"/>
      <c r="J2531" s="894"/>
      <c r="K2531" s="895"/>
      <c r="L2531" s="895"/>
      <c r="M2531" s="895"/>
      <c r="N2531" s="898"/>
      <c r="O2531" s="682"/>
      <c r="U2531" s="596"/>
    </row>
    <row r="2532" spans="1:21" ht="19.149999999999999" customHeight="1">
      <c r="A2532" s="886"/>
      <c r="B2532" s="887"/>
      <c r="C2532" s="888"/>
      <c r="D2532" s="889"/>
      <c r="E2532" s="890"/>
      <c r="F2532" s="891"/>
      <c r="I2532" s="893"/>
      <c r="J2532" s="894"/>
      <c r="K2532" s="895"/>
      <c r="L2532" s="895"/>
      <c r="M2532" s="895"/>
      <c r="N2532" s="898"/>
      <c r="O2532" s="682"/>
      <c r="U2532" s="596"/>
    </row>
    <row r="2533" spans="1:21" ht="19.149999999999999" customHeight="1">
      <c r="A2533" s="886"/>
      <c r="B2533" s="887"/>
      <c r="C2533" s="888"/>
      <c r="D2533" s="889"/>
      <c r="E2533" s="890"/>
      <c r="F2533" s="891"/>
      <c r="I2533" s="893"/>
      <c r="J2533" s="894"/>
      <c r="K2533" s="895"/>
      <c r="L2533" s="895"/>
      <c r="M2533" s="895"/>
      <c r="N2533" s="898"/>
      <c r="O2533" s="682"/>
      <c r="U2533" s="596"/>
    </row>
    <row r="2534" spans="1:21" ht="19.149999999999999" customHeight="1">
      <c r="A2534" s="886"/>
      <c r="B2534" s="887"/>
      <c r="C2534" s="888"/>
      <c r="D2534" s="889"/>
      <c r="E2534" s="890"/>
      <c r="F2534" s="891"/>
      <c r="I2534" s="893"/>
      <c r="J2534" s="894"/>
      <c r="K2534" s="895"/>
      <c r="L2534" s="895"/>
      <c r="M2534" s="895"/>
      <c r="N2534" s="898"/>
      <c r="O2534" s="682"/>
      <c r="U2534" s="596"/>
    </row>
    <row r="2535" spans="1:21" ht="19.149999999999999" customHeight="1">
      <c r="A2535" s="886"/>
      <c r="B2535" s="887"/>
      <c r="C2535" s="888"/>
      <c r="D2535" s="889"/>
      <c r="E2535" s="890"/>
      <c r="F2535" s="891"/>
      <c r="I2535" s="893"/>
      <c r="J2535" s="894"/>
      <c r="K2535" s="895"/>
      <c r="L2535" s="895"/>
      <c r="M2535" s="895"/>
      <c r="N2535" s="898"/>
      <c r="O2535" s="682"/>
      <c r="U2535" s="596"/>
    </row>
    <row r="2536" spans="1:21" ht="19.149999999999999" customHeight="1">
      <c r="A2536" s="886"/>
      <c r="B2536" s="887"/>
      <c r="C2536" s="888"/>
      <c r="D2536" s="889"/>
      <c r="E2536" s="890"/>
      <c r="F2536" s="891"/>
      <c r="I2536" s="893"/>
      <c r="J2536" s="894"/>
      <c r="K2536" s="895"/>
      <c r="L2536" s="895"/>
      <c r="M2536" s="895"/>
      <c r="N2536" s="898"/>
      <c r="O2536" s="682"/>
      <c r="U2536" s="596"/>
    </row>
    <row r="2537" spans="1:21" ht="19.149999999999999" customHeight="1">
      <c r="A2537" s="886"/>
      <c r="B2537" s="887"/>
      <c r="C2537" s="888"/>
      <c r="D2537" s="889"/>
      <c r="E2537" s="890"/>
      <c r="F2537" s="891"/>
      <c r="I2537" s="893"/>
      <c r="J2537" s="894"/>
      <c r="K2537" s="895"/>
      <c r="L2537" s="895"/>
      <c r="M2537" s="895"/>
      <c r="N2537" s="898"/>
      <c r="O2537" s="682"/>
      <c r="U2537" s="596"/>
    </row>
    <row r="2538" spans="1:21" ht="19.149999999999999" customHeight="1">
      <c r="A2538" s="886"/>
      <c r="B2538" s="887"/>
      <c r="C2538" s="888"/>
      <c r="D2538" s="889"/>
      <c r="E2538" s="890"/>
      <c r="F2538" s="891"/>
      <c r="I2538" s="893"/>
      <c r="J2538" s="894"/>
      <c r="K2538" s="895"/>
      <c r="L2538" s="895"/>
      <c r="M2538" s="895"/>
      <c r="N2538" s="898"/>
      <c r="O2538" s="682"/>
      <c r="U2538" s="596"/>
    </row>
    <row r="2539" spans="1:21" ht="19.149999999999999" customHeight="1">
      <c r="A2539" s="886"/>
      <c r="B2539" s="887"/>
      <c r="C2539" s="888"/>
      <c r="D2539" s="889"/>
      <c r="E2539" s="890"/>
      <c r="F2539" s="891"/>
      <c r="I2539" s="893"/>
      <c r="J2539" s="894"/>
      <c r="K2539" s="895"/>
      <c r="L2539" s="895"/>
      <c r="M2539" s="895"/>
      <c r="N2539" s="898"/>
      <c r="O2539" s="682"/>
      <c r="U2539" s="596"/>
    </row>
    <row r="2540" spans="1:21" ht="19.149999999999999" customHeight="1">
      <c r="A2540" s="886"/>
      <c r="B2540" s="887"/>
      <c r="C2540" s="888"/>
      <c r="D2540" s="889"/>
      <c r="E2540" s="890"/>
      <c r="F2540" s="891"/>
      <c r="I2540" s="893"/>
      <c r="J2540" s="894"/>
      <c r="K2540" s="895"/>
      <c r="L2540" s="895"/>
      <c r="M2540" s="895"/>
      <c r="N2540" s="898"/>
      <c r="O2540" s="682"/>
      <c r="U2540" s="596"/>
    </row>
    <row r="2541" spans="1:21" ht="19.149999999999999" customHeight="1">
      <c r="A2541" s="886"/>
      <c r="B2541" s="887"/>
      <c r="C2541" s="888"/>
      <c r="D2541" s="889"/>
      <c r="E2541" s="890"/>
      <c r="F2541" s="891"/>
      <c r="I2541" s="893"/>
      <c r="J2541" s="894"/>
      <c r="K2541" s="895"/>
      <c r="L2541" s="895"/>
      <c r="M2541" s="895"/>
      <c r="N2541" s="898"/>
      <c r="O2541" s="682"/>
      <c r="U2541" s="596"/>
    </row>
    <row r="2542" spans="1:21" ht="19.149999999999999" customHeight="1">
      <c r="A2542" s="886"/>
      <c r="B2542" s="887"/>
      <c r="C2542" s="888"/>
      <c r="D2542" s="889"/>
      <c r="E2542" s="890"/>
      <c r="F2542" s="891"/>
      <c r="I2542" s="893"/>
      <c r="J2542" s="894"/>
      <c r="K2542" s="895"/>
      <c r="L2542" s="895"/>
      <c r="M2542" s="895"/>
      <c r="N2542" s="898"/>
      <c r="O2542" s="682"/>
      <c r="U2542" s="596"/>
    </row>
    <row r="2543" spans="1:21" ht="19.149999999999999" customHeight="1">
      <c r="A2543" s="886"/>
      <c r="B2543" s="887"/>
      <c r="C2543" s="888"/>
      <c r="D2543" s="889"/>
      <c r="E2543" s="890"/>
      <c r="F2543" s="891"/>
      <c r="I2543" s="893"/>
      <c r="J2543" s="894"/>
      <c r="K2543" s="895"/>
      <c r="L2543" s="895"/>
      <c r="M2543" s="895"/>
      <c r="N2543" s="898"/>
      <c r="O2543" s="682"/>
      <c r="U2543" s="596"/>
    </row>
    <row r="2544" spans="1:21" ht="19.149999999999999" customHeight="1">
      <c r="A2544" s="886"/>
      <c r="B2544" s="887"/>
      <c r="C2544" s="888"/>
      <c r="D2544" s="889"/>
      <c r="E2544" s="890"/>
      <c r="F2544" s="891"/>
      <c r="I2544" s="893"/>
      <c r="J2544" s="894"/>
      <c r="K2544" s="895"/>
      <c r="L2544" s="895"/>
      <c r="M2544" s="895"/>
      <c r="N2544" s="898"/>
      <c r="O2544" s="682"/>
      <c r="U2544" s="596"/>
    </row>
    <row r="2545" spans="1:21" ht="19.149999999999999" customHeight="1">
      <c r="A2545" s="886"/>
      <c r="B2545" s="887"/>
      <c r="C2545" s="888"/>
      <c r="D2545" s="889"/>
      <c r="E2545" s="890"/>
      <c r="F2545" s="891"/>
      <c r="I2545" s="893"/>
      <c r="J2545" s="894"/>
      <c r="K2545" s="895"/>
      <c r="L2545" s="895"/>
      <c r="M2545" s="895"/>
      <c r="N2545" s="898"/>
      <c r="O2545" s="682"/>
      <c r="U2545" s="596"/>
    </row>
    <row r="2546" spans="1:21" ht="19.149999999999999" customHeight="1">
      <c r="A2546" s="886"/>
      <c r="B2546" s="887"/>
      <c r="C2546" s="888"/>
      <c r="D2546" s="889"/>
      <c r="E2546" s="890"/>
      <c r="F2546" s="891"/>
      <c r="I2546" s="893"/>
      <c r="J2546" s="894"/>
      <c r="K2546" s="895"/>
      <c r="L2546" s="895"/>
      <c r="M2546" s="895"/>
      <c r="N2546" s="898"/>
      <c r="O2546" s="682"/>
      <c r="U2546" s="596"/>
    </row>
    <row r="2547" spans="1:21" ht="19.149999999999999" customHeight="1">
      <c r="A2547" s="886"/>
      <c r="B2547" s="887"/>
      <c r="C2547" s="888"/>
      <c r="D2547" s="889"/>
      <c r="E2547" s="890"/>
      <c r="F2547" s="891"/>
      <c r="I2547" s="893"/>
      <c r="J2547" s="894"/>
      <c r="K2547" s="895"/>
      <c r="L2547" s="895"/>
      <c r="M2547" s="895"/>
      <c r="N2547" s="898"/>
      <c r="O2547" s="682"/>
      <c r="U2547" s="596"/>
    </row>
    <row r="2548" spans="1:21" ht="19.149999999999999" customHeight="1">
      <c r="A2548" s="886"/>
      <c r="B2548" s="887"/>
      <c r="C2548" s="888"/>
      <c r="D2548" s="889"/>
      <c r="E2548" s="890"/>
      <c r="F2548" s="891"/>
      <c r="I2548" s="893"/>
      <c r="J2548" s="894"/>
      <c r="K2548" s="895"/>
      <c r="L2548" s="895"/>
      <c r="M2548" s="895"/>
      <c r="N2548" s="898"/>
      <c r="O2548" s="682"/>
      <c r="U2548" s="596"/>
    </row>
    <row r="2549" spans="1:21" ht="19.149999999999999" customHeight="1">
      <c r="A2549" s="886"/>
      <c r="B2549" s="887"/>
      <c r="C2549" s="888"/>
      <c r="D2549" s="889"/>
      <c r="E2549" s="890"/>
      <c r="F2549" s="891"/>
      <c r="I2549" s="893"/>
      <c r="J2549" s="894"/>
      <c r="K2549" s="895"/>
      <c r="L2549" s="895"/>
      <c r="M2549" s="895"/>
      <c r="N2549" s="898"/>
      <c r="O2549" s="682"/>
      <c r="U2549" s="596"/>
    </row>
    <row r="2550" spans="1:21" ht="19.149999999999999" customHeight="1">
      <c r="A2550" s="886"/>
      <c r="B2550" s="887"/>
      <c r="C2550" s="888"/>
      <c r="D2550" s="889"/>
      <c r="E2550" s="890"/>
      <c r="F2550" s="891"/>
      <c r="I2550" s="893"/>
      <c r="J2550" s="894"/>
      <c r="K2550" s="895"/>
      <c r="L2550" s="895"/>
      <c r="M2550" s="895"/>
      <c r="N2550" s="898"/>
      <c r="O2550" s="682"/>
      <c r="U2550" s="596"/>
    </row>
    <row r="2551" spans="1:21" ht="19.149999999999999" customHeight="1">
      <c r="A2551" s="886"/>
      <c r="B2551" s="887"/>
      <c r="C2551" s="888"/>
      <c r="D2551" s="889"/>
      <c r="E2551" s="890"/>
      <c r="F2551" s="891"/>
      <c r="I2551" s="893"/>
      <c r="J2551" s="894"/>
      <c r="K2551" s="895"/>
      <c r="L2551" s="895"/>
      <c r="M2551" s="895"/>
      <c r="N2551" s="898"/>
      <c r="O2551" s="682"/>
      <c r="U2551" s="596"/>
    </row>
    <row r="2552" spans="1:21" ht="19.149999999999999" customHeight="1">
      <c r="A2552" s="886"/>
      <c r="B2552" s="887"/>
      <c r="C2552" s="888"/>
      <c r="D2552" s="889"/>
      <c r="E2552" s="890"/>
      <c r="F2552" s="891"/>
      <c r="I2552" s="893"/>
      <c r="J2552" s="894"/>
      <c r="K2552" s="895"/>
      <c r="L2552" s="895"/>
      <c r="M2552" s="895"/>
      <c r="N2552" s="898"/>
      <c r="O2552" s="682"/>
      <c r="U2552" s="596"/>
    </row>
    <row r="2553" spans="1:21" ht="19.149999999999999" customHeight="1">
      <c r="A2553" s="886"/>
      <c r="B2553" s="887"/>
      <c r="C2553" s="888"/>
      <c r="D2553" s="889"/>
      <c r="E2553" s="890"/>
      <c r="F2553" s="891"/>
      <c r="I2553" s="893"/>
      <c r="J2553" s="894"/>
      <c r="K2553" s="895"/>
      <c r="L2553" s="895"/>
      <c r="M2553" s="895"/>
      <c r="N2553" s="898"/>
      <c r="O2553" s="682"/>
      <c r="U2553" s="596"/>
    </row>
    <row r="2554" spans="1:21" ht="19.149999999999999" customHeight="1">
      <c r="A2554" s="886"/>
      <c r="B2554" s="887"/>
      <c r="C2554" s="888"/>
      <c r="D2554" s="889"/>
      <c r="E2554" s="890"/>
      <c r="F2554" s="891"/>
      <c r="I2554" s="893"/>
      <c r="J2554" s="894"/>
      <c r="K2554" s="895"/>
      <c r="L2554" s="895"/>
      <c r="M2554" s="895"/>
      <c r="N2554" s="898"/>
      <c r="O2554" s="682"/>
      <c r="U2554" s="596"/>
    </row>
    <row r="2555" spans="1:21" ht="19.149999999999999" customHeight="1">
      <c r="A2555" s="886"/>
      <c r="B2555" s="887"/>
      <c r="C2555" s="888"/>
      <c r="D2555" s="889"/>
      <c r="E2555" s="890"/>
      <c r="F2555" s="891"/>
      <c r="I2555" s="893"/>
      <c r="J2555" s="894"/>
      <c r="K2555" s="895"/>
      <c r="L2555" s="895"/>
      <c r="M2555" s="895"/>
      <c r="N2555" s="898"/>
      <c r="O2555" s="682"/>
      <c r="U2555" s="596"/>
    </row>
    <row r="2556" spans="1:21" ht="19.149999999999999" customHeight="1">
      <c r="A2556" s="886"/>
      <c r="B2556" s="887"/>
      <c r="C2556" s="888"/>
      <c r="D2556" s="889"/>
      <c r="E2556" s="890"/>
      <c r="F2556" s="891"/>
      <c r="I2556" s="893"/>
      <c r="J2556" s="894"/>
      <c r="K2556" s="895"/>
      <c r="L2556" s="895"/>
      <c r="M2556" s="895"/>
      <c r="N2556" s="898"/>
      <c r="O2556" s="682"/>
      <c r="U2556" s="596"/>
    </row>
    <row r="2557" spans="1:21" ht="19.149999999999999" customHeight="1">
      <c r="A2557" s="886"/>
      <c r="B2557" s="887"/>
      <c r="C2557" s="888"/>
      <c r="D2557" s="889"/>
      <c r="E2557" s="890"/>
      <c r="F2557" s="891"/>
      <c r="I2557" s="893"/>
      <c r="J2557" s="894"/>
      <c r="K2557" s="895"/>
      <c r="L2557" s="895"/>
      <c r="M2557" s="895"/>
      <c r="N2557" s="898"/>
      <c r="O2557" s="682"/>
      <c r="U2557" s="596"/>
    </row>
    <row r="2558" spans="1:21" ht="19.149999999999999" customHeight="1">
      <c r="A2558" s="886"/>
      <c r="B2558" s="887"/>
      <c r="C2558" s="888"/>
      <c r="D2558" s="889"/>
      <c r="E2558" s="890"/>
      <c r="F2558" s="891"/>
      <c r="I2558" s="893"/>
      <c r="J2558" s="894"/>
      <c r="K2558" s="895"/>
      <c r="L2558" s="895"/>
      <c r="M2558" s="895"/>
      <c r="N2558" s="898"/>
      <c r="O2558" s="682"/>
      <c r="U2558" s="596"/>
    </row>
    <row r="2559" spans="1:21" ht="19.149999999999999" customHeight="1">
      <c r="A2559" s="886"/>
      <c r="B2559" s="887"/>
      <c r="C2559" s="888"/>
      <c r="D2559" s="889"/>
      <c r="E2559" s="890"/>
      <c r="F2559" s="891"/>
      <c r="I2559" s="893"/>
      <c r="J2559" s="894"/>
      <c r="K2559" s="895"/>
      <c r="L2559" s="895"/>
      <c r="M2559" s="895"/>
      <c r="N2559" s="898"/>
      <c r="O2559" s="682"/>
      <c r="U2559" s="596"/>
    </row>
    <row r="2560" spans="1:21" ht="19.149999999999999" customHeight="1">
      <c r="A2560" s="886"/>
      <c r="B2560" s="887"/>
      <c r="C2560" s="888"/>
      <c r="D2560" s="889"/>
      <c r="E2560" s="890"/>
      <c r="F2560" s="891"/>
      <c r="I2560" s="893"/>
      <c r="J2560" s="894"/>
      <c r="K2560" s="895"/>
      <c r="L2560" s="895"/>
      <c r="M2560" s="895"/>
      <c r="N2560" s="898"/>
      <c r="O2560" s="682"/>
      <c r="U2560" s="596"/>
    </row>
    <row r="2561" spans="1:21" ht="19.149999999999999" customHeight="1">
      <c r="A2561" s="886"/>
      <c r="B2561" s="887"/>
      <c r="C2561" s="888"/>
      <c r="D2561" s="889"/>
      <c r="E2561" s="890"/>
      <c r="F2561" s="891"/>
      <c r="I2561" s="893"/>
      <c r="J2561" s="894"/>
      <c r="K2561" s="895"/>
      <c r="L2561" s="895"/>
      <c r="M2561" s="895"/>
      <c r="N2561" s="898"/>
      <c r="O2561" s="682"/>
      <c r="U2561" s="596"/>
    </row>
    <row r="2562" spans="1:21" ht="19.149999999999999" customHeight="1">
      <c r="A2562" s="886"/>
      <c r="B2562" s="887"/>
      <c r="C2562" s="888"/>
      <c r="D2562" s="889"/>
      <c r="E2562" s="890"/>
      <c r="F2562" s="891"/>
      <c r="I2562" s="893"/>
      <c r="J2562" s="894"/>
      <c r="K2562" s="895"/>
      <c r="L2562" s="895"/>
      <c r="M2562" s="895"/>
      <c r="N2562" s="898"/>
      <c r="O2562" s="682"/>
      <c r="U2562" s="596"/>
    </row>
    <row r="2563" spans="1:21" ht="19.149999999999999" customHeight="1">
      <c r="A2563" s="886"/>
      <c r="B2563" s="887"/>
      <c r="C2563" s="888"/>
      <c r="D2563" s="889"/>
      <c r="E2563" s="890"/>
      <c r="F2563" s="891"/>
      <c r="I2563" s="893"/>
      <c r="J2563" s="894"/>
      <c r="K2563" s="895"/>
      <c r="L2563" s="895"/>
      <c r="M2563" s="895"/>
      <c r="N2563" s="898"/>
      <c r="O2563" s="682"/>
      <c r="U2563" s="596"/>
    </row>
    <row r="2564" spans="1:21" ht="19.149999999999999" customHeight="1">
      <c r="A2564" s="886"/>
      <c r="B2564" s="887"/>
      <c r="C2564" s="888"/>
      <c r="D2564" s="889"/>
      <c r="E2564" s="890"/>
      <c r="F2564" s="891"/>
      <c r="I2564" s="893"/>
      <c r="J2564" s="894"/>
      <c r="K2564" s="895"/>
      <c r="L2564" s="895"/>
      <c r="M2564" s="895"/>
      <c r="N2564" s="898"/>
      <c r="O2564" s="682"/>
      <c r="U2564" s="596"/>
    </row>
    <row r="2565" spans="1:21" ht="19.149999999999999" customHeight="1">
      <c r="A2565" s="886"/>
      <c r="B2565" s="887"/>
      <c r="C2565" s="888"/>
      <c r="D2565" s="889"/>
      <c r="E2565" s="890"/>
      <c r="F2565" s="891"/>
      <c r="I2565" s="893"/>
      <c r="J2565" s="894"/>
      <c r="K2565" s="895"/>
      <c r="L2565" s="895"/>
      <c r="M2565" s="895"/>
      <c r="N2565" s="898"/>
      <c r="O2565" s="682"/>
      <c r="U2565" s="596"/>
    </row>
    <row r="2566" spans="1:21" ht="19.149999999999999" customHeight="1">
      <c r="A2566" s="886"/>
      <c r="B2566" s="887"/>
      <c r="C2566" s="888"/>
      <c r="D2566" s="889"/>
      <c r="E2566" s="890"/>
      <c r="F2566" s="891"/>
      <c r="I2566" s="893"/>
      <c r="J2566" s="894"/>
      <c r="K2566" s="895"/>
      <c r="L2566" s="895"/>
      <c r="M2566" s="895"/>
      <c r="N2566" s="898"/>
      <c r="O2566" s="682"/>
      <c r="U2566" s="596"/>
    </row>
    <row r="2567" spans="1:21" ht="19.149999999999999" customHeight="1">
      <c r="A2567" s="886"/>
      <c r="B2567" s="887"/>
      <c r="C2567" s="888"/>
      <c r="D2567" s="889"/>
      <c r="E2567" s="890"/>
      <c r="F2567" s="891"/>
      <c r="I2567" s="893"/>
      <c r="J2567" s="894"/>
      <c r="K2567" s="895"/>
      <c r="L2567" s="895"/>
      <c r="M2567" s="895"/>
      <c r="N2567" s="898"/>
      <c r="O2567" s="682"/>
      <c r="U2567" s="596"/>
    </row>
    <row r="2568" spans="1:21" ht="19.149999999999999" customHeight="1">
      <c r="A2568" s="886"/>
      <c r="B2568" s="887"/>
      <c r="C2568" s="888"/>
      <c r="D2568" s="889"/>
      <c r="E2568" s="890"/>
      <c r="F2568" s="891"/>
      <c r="I2568" s="893"/>
      <c r="J2568" s="894"/>
      <c r="K2568" s="895"/>
      <c r="L2568" s="895"/>
      <c r="M2568" s="895"/>
      <c r="N2568" s="898"/>
      <c r="O2568" s="682"/>
      <c r="U2568" s="596"/>
    </row>
    <row r="2569" spans="1:21" ht="19.149999999999999" customHeight="1">
      <c r="A2569" s="886"/>
      <c r="B2569" s="887"/>
      <c r="C2569" s="888"/>
      <c r="D2569" s="889"/>
      <c r="E2569" s="890"/>
      <c r="F2569" s="891"/>
      <c r="I2569" s="893"/>
      <c r="J2569" s="894"/>
      <c r="K2569" s="895"/>
      <c r="L2569" s="895"/>
      <c r="M2569" s="895"/>
      <c r="N2569" s="898"/>
      <c r="O2569" s="682"/>
      <c r="U2569" s="596"/>
    </row>
    <row r="2570" spans="1:21" ht="19.149999999999999" customHeight="1">
      <c r="A2570" s="886"/>
      <c r="B2570" s="887"/>
      <c r="C2570" s="888"/>
      <c r="D2570" s="889"/>
      <c r="E2570" s="890"/>
      <c r="F2570" s="891"/>
      <c r="I2570" s="893"/>
      <c r="J2570" s="894"/>
      <c r="K2570" s="895"/>
      <c r="L2570" s="895"/>
      <c r="M2570" s="895"/>
      <c r="N2570" s="898"/>
      <c r="O2570" s="682"/>
      <c r="U2570" s="596"/>
    </row>
    <row r="2571" spans="1:21" ht="19.149999999999999" customHeight="1">
      <c r="A2571" s="886"/>
      <c r="B2571" s="887"/>
      <c r="C2571" s="888"/>
      <c r="D2571" s="889"/>
      <c r="E2571" s="890"/>
      <c r="F2571" s="891"/>
      <c r="I2571" s="893"/>
      <c r="J2571" s="894"/>
      <c r="K2571" s="895"/>
      <c r="L2571" s="895"/>
      <c r="M2571" s="895"/>
      <c r="N2571" s="898"/>
      <c r="O2571" s="682"/>
      <c r="U2571" s="596"/>
    </row>
    <row r="2572" spans="1:21" ht="19.149999999999999" customHeight="1">
      <c r="A2572" s="886"/>
      <c r="B2572" s="887"/>
      <c r="C2572" s="888"/>
      <c r="D2572" s="889"/>
      <c r="E2572" s="890"/>
      <c r="F2572" s="891"/>
      <c r="I2572" s="893"/>
      <c r="J2572" s="894"/>
      <c r="K2572" s="895"/>
      <c r="L2572" s="895"/>
      <c r="M2572" s="895"/>
      <c r="N2572" s="898"/>
      <c r="O2572" s="682"/>
      <c r="U2572" s="596"/>
    </row>
    <row r="2573" spans="1:21" ht="19.149999999999999" customHeight="1">
      <c r="A2573" s="886"/>
      <c r="B2573" s="887"/>
      <c r="C2573" s="888"/>
      <c r="D2573" s="889"/>
      <c r="E2573" s="890"/>
      <c r="F2573" s="891"/>
      <c r="I2573" s="893"/>
      <c r="J2573" s="894"/>
      <c r="K2573" s="895"/>
      <c r="L2573" s="895"/>
      <c r="M2573" s="895"/>
      <c r="N2573" s="898"/>
      <c r="O2573" s="682"/>
      <c r="U2573" s="596"/>
    </row>
    <row r="2574" spans="1:21" ht="19.149999999999999" customHeight="1">
      <c r="A2574" s="886"/>
      <c r="B2574" s="887"/>
      <c r="C2574" s="888"/>
      <c r="D2574" s="889"/>
      <c r="E2574" s="890"/>
      <c r="F2574" s="891"/>
      <c r="I2574" s="893"/>
      <c r="J2574" s="894"/>
      <c r="K2574" s="895"/>
      <c r="L2574" s="895"/>
      <c r="M2574" s="895"/>
      <c r="N2574" s="898"/>
      <c r="O2574" s="682"/>
      <c r="U2574" s="596"/>
    </row>
    <row r="2575" spans="1:21" ht="19.149999999999999" customHeight="1">
      <c r="A2575" s="886"/>
      <c r="B2575" s="887"/>
      <c r="C2575" s="888"/>
      <c r="D2575" s="889"/>
      <c r="E2575" s="890"/>
      <c r="F2575" s="891"/>
      <c r="I2575" s="893"/>
      <c r="J2575" s="894"/>
      <c r="K2575" s="895"/>
      <c r="L2575" s="895"/>
      <c r="M2575" s="895"/>
      <c r="N2575" s="898"/>
      <c r="O2575" s="682"/>
      <c r="U2575" s="596"/>
    </row>
    <row r="2576" spans="1:21" ht="19.149999999999999" customHeight="1">
      <c r="A2576" s="886"/>
      <c r="B2576" s="887"/>
      <c r="C2576" s="888"/>
      <c r="D2576" s="889"/>
      <c r="E2576" s="890"/>
      <c r="F2576" s="891"/>
      <c r="I2576" s="893"/>
      <c r="J2576" s="894"/>
      <c r="K2576" s="895"/>
      <c r="L2576" s="895"/>
      <c r="M2576" s="895"/>
      <c r="N2576" s="898"/>
      <c r="O2576" s="682"/>
      <c r="U2576" s="596"/>
    </row>
    <row r="2577" spans="1:21" ht="19.149999999999999" customHeight="1">
      <c r="A2577" s="886"/>
      <c r="B2577" s="887"/>
      <c r="C2577" s="888"/>
      <c r="D2577" s="889"/>
      <c r="E2577" s="890"/>
      <c r="F2577" s="891"/>
      <c r="I2577" s="893"/>
      <c r="J2577" s="894"/>
      <c r="K2577" s="895"/>
      <c r="L2577" s="895"/>
      <c r="M2577" s="895"/>
      <c r="N2577" s="898"/>
      <c r="O2577" s="682"/>
      <c r="U2577" s="596"/>
    </row>
    <row r="2578" spans="1:21" ht="19.149999999999999" customHeight="1">
      <c r="A2578" s="886"/>
      <c r="B2578" s="887"/>
      <c r="C2578" s="888"/>
      <c r="D2578" s="889"/>
      <c r="E2578" s="890"/>
      <c r="F2578" s="891"/>
      <c r="I2578" s="893"/>
      <c r="J2578" s="894"/>
      <c r="K2578" s="895"/>
      <c r="L2578" s="895"/>
      <c r="M2578" s="895"/>
      <c r="N2578" s="898"/>
      <c r="O2578" s="682"/>
      <c r="U2578" s="596"/>
    </row>
    <row r="2579" spans="1:21" ht="19.149999999999999" customHeight="1">
      <c r="A2579" s="886"/>
      <c r="B2579" s="887"/>
      <c r="C2579" s="888"/>
      <c r="D2579" s="889"/>
      <c r="E2579" s="890"/>
      <c r="F2579" s="891"/>
      <c r="I2579" s="893"/>
      <c r="J2579" s="894"/>
      <c r="K2579" s="895"/>
      <c r="L2579" s="895"/>
      <c r="M2579" s="895"/>
      <c r="N2579" s="898"/>
      <c r="O2579" s="682"/>
      <c r="U2579" s="596"/>
    </row>
    <row r="2580" spans="1:21" ht="19.149999999999999" customHeight="1">
      <c r="A2580" s="886"/>
      <c r="B2580" s="887"/>
      <c r="C2580" s="888"/>
      <c r="D2580" s="889"/>
      <c r="E2580" s="890"/>
      <c r="F2580" s="891"/>
      <c r="I2580" s="893"/>
      <c r="J2580" s="894"/>
      <c r="K2580" s="895"/>
      <c r="L2580" s="895"/>
      <c r="M2580" s="895"/>
      <c r="N2580" s="898"/>
      <c r="O2580" s="682"/>
      <c r="U2580" s="596"/>
    </row>
    <row r="2581" spans="1:21" ht="19.149999999999999" customHeight="1">
      <c r="A2581" s="886"/>
      <c r="B2581" s="887"/>
      <c r="C2581" s="888"/>
      <c r="D2581" s="889"/>
      <c r="E2581" s="890"/>
      <c r="F2581" s="891"/>
      <c r="I2581" s="893"/>
      <c r="J2581" s="894"/>
      <c r="K2581" s="895"/>
      <c r="L2581" s="895"/>
      <c r="M2581" s="895"/>
      <c r="N2581" s="898"/>
      <c r="O2581" s="682"/>
      <c r="U2581" s="596"/>
    </row>
    <row r="2582" spans="1:21" ht="19.149999999999999" customHeight="1">
      <c r="A2582" s="886"/>
      <c r="B2582" s="887"/>
      <c r="C2582" s="888"/>
      <c r="D2582" s="889"/>
      <c r="E2582" s="890"/>
      <c r="F2582" s="891"/>
      <c r="I2582" s="893"/>
      <c r="J2582" s="894"/>
      <c r="K2582" s="895"/>
      <c r="L2582" s="895"/>
      <c r="M2582" s="895"/>
      <c r="N2582" s="898"/>
      <c r="O2582" s="682"/>
      <c r="U2582" s="596"/>
    </row>
    <row r="2583" spans="1:21" ht="19.149999999999999" customHeight="1">
      <c r="A2583" s="886"/>
      <c r="B2583" s="887"/>
      <c r="C2583" s="888"/>
      <c r="D2583" s="889"/>
      <c r="E2583" s="890"/>
      <c r="F2583" s="891"/>
      <c r="I2583" s="893"/>
      <c r="J2583" s="894"/>
      <c r="K2583" s="895"/>
      <c r="L2583" s="895"/>
      <c r="M2583" s="895"/>
      <c r="N2583" s="898"/>
      <c r="O2583" s="682"/>
      <c r="U2583" s="596"/>
    </row>
    <row r="2584" spans="1:21" ht="19.149999999999999" customHeight="1">
      <c r="A2584" s="886"/>
      <c r="B2584" s="887"/>
      <c r="C2584" s="888"/>
      <c r="D2584" s="889"/>
      <c r="E2584" s="890"/>
      <c r="F2584" s="891"/>
      <c r="I2584" s="893"/>
      <c r="J2584" s="894"/>
      <c r="K2584" s="895"/>
      <c r="L2584" s="895"/>
      <c r="M2584" s="895"/>
      <c r="N2584" s="898"/>
      <c r="O2584" s="682"/>
      <c r="U2584" s="596"/>
    </row>
    <row r="2585" spans="1:21" ht="19.149999999999999" customHeight="1">
      <c r="A2585" s="886"/>
      <c r="B2585" s="887"/>
      <c r="C2585" s="888"/>
      <c r="D2585" s="889"/>
      <c r="E2585" s="890"/>
      <c r="F2585" s="891"/>
      <c r="I2585" s="893"/>
      <c r="J2585" s="894"/>
      <c r="K2585" s="895"/>
      <c r="L2585" s="895"/>
      <c r="M2585" s="895"/>
      <c r="N2585" s="898"/>
      <c r="O2585" s="682"/>
      <c r="U2585" s="596"/>
    </row>
    <row r="2586" spans="1:21" ht="19.149999999999999" customHeight="1">
      <c r="A2586" s="886"/>
      <c r="B2586" s="887"/>
      <c r="C2586" s="888"/>
      <c r="D2586" s="889"/>
      <c r="E2586" s="890"/>
      <c r="F2586" s="891"/>
      <c r="I2586" s="893"/>
      <c r="J2586" s="894"/>
      <c r="K2586" s="895"/>
      <c r="L2586" s="895"/>
      <c r="M2586" s="895"/>
      <c r="N2586" s="898"/>
      <c r="O2586" s="682"/>
      <c r="U2586" s="596"/>
    </row>
    <row r="2587" spans="1:21" ht="19.149999999999999" customHeight="1">
      <c r="A2587" s="886"/>
      <c r="B2587" s="887"/>
      <c r="C2587" s="888"/>
      <c r="D2587" s="889"/>
      <c r="E2587" s="890"/>
      <c r="F2587" s="891"/>
      <c r="I2587" s="893"/>
      <c r="J2587" s="894"/>
      <c r="K2587" s="895"/>
      <c r="L2587" s="895"/>
      <c r="M2587" s="895"/>
      <c r="N2587" s="898"/>
      <c r="O2587" s="682"/>
      <c r="U2587" s="596"/>
    </row>
    <row r="2588" spans="1:21" ht="19.149999999999999" customHeight="1">
      <c r="A2588" s="886"/>
      <c r="B2588" s="887"/>
      <c r="C2588" s="888"/>
      <c r="D2588" s="889"/>
      <c r="E2588" s="890"/>
      <c r="F2588" s="891"/>
      <c r="I2588" s="893"/>
      <c r="J2588" s="894"/>
      <c r="K2588" s="895"/>
      <c r="L2588" s="895"/>
      <c r="M2588" s="895"/>
      <c r="N2588" s="898"/>
      <c r="O2588" s="682"/>
      <c r="U2588" s="596"/>
    </row>
    <row r="2589" spans="1:21" ht="19.149999999999999" customHeight="1">
      <c r="A2589" s="886"/>
      <c r="B2589" s="887"/>
      <c r="C2589" s="888"/>
      <c r="D2589" s="889"/>
      <c r="E2589" s="890"/>
      <c r="F2589" s="891"/>
      <c r="I2589" s="893"/>
      <c r="J2589" s="894"/>
      <c r="K2589" s="895"/>
      <c r="L2589" s="895"/>
      <c r="M2589" s="895"/>
      <c r="N2589" s="898"/>
      <c r="O2589" s="682"/>
      <c r="U2589" s="596"/>
    </row>
    <row r="2590" spans="1:21" ht="19.149999999999999" customHeight="1">
      <c r="A2590" s="886"/>
      <c r="B2590" s="887"/>
      <c r="C2590" s="888"/>
      <c r="D2590" s="889"/>
      <c r="E2590" s="890"/>
      <c r="F2590" s="891"/>
      <c r="I2590" s="893"/>
      <c r="J2590" s="894"/>
      <c r="K2590" s="895"/>
      <c r="L2590" s="895"/>
      <c r="M2590" s="895"/>
      <c r="N2590" s="898"/>
      <c r="O2590" s="682"/>
      <c r="U2590" s="596"/>
    </row>
    <row r="2591" spans="1:21" ht="19.149999999999999" customHeight="1">
      <c r="A2591" s="886"/>
      <c r="B2591" s="887"/>
      <c r="C2591" s="888"/>
      <c r="D2591" s="889"/>
      <c r="E2591" s="890"/>
      <c r="F2591" s="891"/>
      <c r="I2591" s="893"/>
      <c r="J2591" s="894"/>
      <c r="K2591" s="895"/>
      <c r="L2591" s="895"/>
      <c r="M2591" s="895"/>
      <c r="N2591" s="898"/>
      <c r="O2591" s="682"/>
      <c r="U2591" s="596"/>
    </row>
    <row r="2592" spans="1:21" ht="19.149999999999999" customHeight="1">
      <c r="A2592" s="886"/>
      <c r="B2592" s="887"/>
      <c r="C2592" s="888"/>
      <c r="D2592" s="889"/>
      <c r="E2592" s="890"/>
      <c r="F2592" s="891"/>
      <c r="I2592" s="893"/>
      <c r="J2592" s="894"/>
      <c r="K2592" s="895"/>
      <c r="L2592" s="895"/>
      <c r="M2592" s="895"/>
      <c r="N2592" s="898"/>
      <c r="O2592" s="682"/>
      <c r="U2592" s="596"/>
    </row>
    <row r="2593" spans="1:21" ht="19.149999999999999" customHeight="1">
      <c r="A2593" s="886"/>
      <c r="B2593" s="887"/>
      <c r="C2593" s="888"/>
      <c r="D2593" s="889"/>
      <c r="E2593" s="890"/>
      <c r="F2593" s="891"/>
      <c r="I2593" s="893"/>
      <c r="J2593" s="894"/>
      <c r="K2593" s="895"/>
      <c r="L2593" s="895"/>
      <c r="M2593" s="895"/>
      <c r="N2593" s="898"/>
      <c r="O2593" s="682"/>
      <c r="U2593" s="596"/>
    </row>
    <row r="2594" spans="1:21" ht="19.149999999999999" customHeight="1">
      <c r="A2594" s="886"/>
      <c r="B2594" s="887"/>
      <c r="C2594" s="888"/>
      <c r="D2594" s="889"/>
      <c r="E2594" s="890"/>
      <c r="F2594" s="891"/>
      <c r="I2594" s="893"/>
      <c r="J2594" s="894"/>
      <c r="K2594" s="895"/>
      <c r="L2594" s="895"/>
      <c r="M2594" s="895"/>
      <c r="N2594" s="898"/>
      <c r="O2594" s="682"/>
      <c r="U2594" s="596"/>
    </row>
    <row r="2595" spans="1:21" ht="19.149999999999999" customHeight="1">
      <c r="A2595" s="886"/>
      <c r="B2595" s="887"/>
      <c r="C2595" s="888"/>
      <c r="D2595" s="889"/>
      <c r="E2595" s="890"/>
      <c r="F2595" s="891"/>
      <c r="I2595" s="893"/>
      <c r="J2595" s="894"/>
      <c r="K2595" s="895"/>
      <c r="L2595" s="895"/>
      <c r="M2595" s="895"/>
      <c r="N2595" s="898"/>
      <c r="O2595" s="682"/>
      <c r="U2595" s="596"/>
    </row>
    <row r="2596" spans="1:21" ht="19.149999999999999" customHeight="1">
      <c r="A2596" s="886"/>
      <c r="B2596" s="887"/>
      <c r="C2596" s="888"/>
      <c r="D2596" s="889"/>
      <c r="E2596" s="890"/>
      <c r="F2596" s="891"/>
      <c r="I2596" s="893"/>
      <c r="J2596" s="894"/>
      <c r="K2596" s="895"/>
      <c r="L2596" s="895"/>
      <c r="M2596" s="895"/>
      <c r="N2596" s="898"/>
      <c r="O2596" s="682"/>
      <c r="U2596" s="596"/>
    </row>
    <row r="2597" spans="1:21" ht="19.149999999999999" customHeight="1">
      <c r="A2597" s="886"/>
      <c r="B2597" s="887"/>
      <c r="C2597" s="888"/>
      <c r="D2597" s="889"/>
      <c r="E2597" s="890"/>
      <c r="F2597" s="891"/>
      <c r="I2597" s="893"/>
      <c r="J2597" s="894"/>
      <c r="K2597" s="895"/>
      <c r="L2597" s="895"/>
      <c r="M2597" s="895"/>
      <c r="N2597" s="898"/>
      <c r="O2597" s="682"/>
      <c r="U2597" s="596"/>
    </row>
    <row r="2598" spans="1:21" ht="19.149999999999999" customHeight="1">
      <c r="A2598" s="886"/>
      <c r="B2598" s="887"/>
      <c r="C2598" s="888"/>
      <c r="D2598" s="889"/>
      <c r="E2598" s="890"/>
      <c r="F2598" s="891"/>
      <c r="I2598" s="893"/>
      <c r="J2598" s="894"/>
      <c r="K2598" s="895"/>
      <c r="L2598" s="895"/>
      <c r="M2598" s="895"/>
      <c r="N2598" s="898"/>
      <c r="O2598" s="682"/>
      <c r="U2598" s="596"/>
    </row>
    <row r="2599" spans="1:21" ht="19.149999999999999" customHeight="1">
      <c r="A2599" s="886"/>
      <c r="B2599" s="887"/>
      <c r="C2599" s="888"/>
      <c r="D2599" s="889"/>
      <c r="E2599" s="890"/>
      <c r="F2599" s="891"/>
      <c r="I2599" s="893"/>
      <c r="J2599" s="894"/>
      <c r="K2599" s="895"/>
      <c r="L2599" s="895"/>
      <c r="M2599" s="895"/>
      <c r="N2599" s="898"/>
      <c r="O2599" s="682"/>
      <c r="U2599" s="596"/>
    </row>
    <row r="2600" spans="1:21" ht="19.149999999999999" customHeight="1">
      <c r="A2600" s="886"/>
      <c r="B2600" s="887"/>
      <c r="C2600" s="888"/>
      <c r="D2600" s="889"/>
      <c r="E2600" s="890"/>
      <c r="F2600" s="891"/>
      <c r="I2600" s="893"/>
      <c r="J2600" s="894"/>
      <c r="K2600" s="895"/>
      <c r="L2600" s="895"/>
      <c r="M2600" s="895"/>
      <c r="N2600" s="898"/>
      <c r="O2600" s="682"/>
      <c r="U2600" s="596"/>
    </row>
    <row r="2601" spans="1:21" ht="19.149999999999999" customHeight="1">
      <c r="A2601" s="886"/>
      <c r="B2601" s="887"/>
      <c r="C2601" s="888"/>
      <c r="D2601" s="889"/>
      <c r="E2601" s="890"/>
      <c r="F2601" s="891"/>
      <c r="I2601" s="893"/>
      <c r="J2601" s="894"/>
      <c r="K2601" s="895"/>
      <c r="L2601" s="895"/>
      <c r="M2601" s="895"/>
      <c r="N2601" s="898"/>
      <c r="O2601" s="682"/>
      <c r="U2601" s="596"/>
    </row>
    <row r="2602" spans="1:21" ht="19.149999999999999" customHeight="1">
      <c r="A2602" s="886"/>
      <c r="B2602" s="887"/>
      <c r="C2602" s="888"/>
      <c r="D2602" s="889"/>
      <c r="E2602" s="890"/>
      <c r="F2602" s="891"/>
      <c r="I2602" s="893"/>
      <c r="J2602" s="894"/>
      <c r="K2602" s="895"/>
      <c r="L2602" s="895"/>
      <c r="M2602" s="895"/>
      <c r="N2602" s="898"/>
      <c r="O2602" s="682"/>
      <c r="U2602" s="596"/>
    </row>
    <row r="2603" spans="1:21" ht="19.149999999999999" customHeight="1">
      <c r="A2603" s="886"/>
      <c r="B2603" s="887"/>
      <c r="C2603" s="888"/>
      <c r="D2603" s="889"/>
      <c r="E2603" s="890"/>
      <c r="F2603" s="891"/>
      <c r="I2603" s="893"/>
      <c r="J2603" s="894"/>
      <c r="K2603" s="895"/>
      <c r="L2603" s="895"/>
      <c r="M2603" s="895"/>
      <c r="N2603" s="898"/>
      <c r="O2603" s="682"/>
      <c r="U2603" s="596"/>
    </row>
    <row r="2604" spans="1:21" ht="19.149999999999999" customHeight="1">
      <c r="A2604" s="886"/>
      <c r="B2604" s="887"/>
      <c r="C2604" s="888"/>
      <c r="D2604" s="889"/>
      <c r="E2604" s="890"/>
      <c r="F2604" s="891"/>
      <c r="I2604" s="893"/>
      <c r="J2604" s="894"/>
      <c r="K2604" s="895"/>
      <c r="L2604" s="895"/>
      <c r="M2604" s="895"/>
      <c r="N2604" s="898"/>
      <c r="O2604" s="682"/>
      <c r="U2604" s="596"/>
    </row>
    <row r="2605" spans="1:21" ht="19.149999999999999" customHeight="1">
      <c r="A2605" s="886"/>
      <c r="B2605" s="887"/>
      <c r="C2605" s="888"/>
      <c r="D2605" s="889"/>
      <c r="E2605" s="890"/>
      <c r="F2605" s="891"/>
      <c r="I2605" s="893"/>
      <c r="J2605" s="894"/>
      <c r="K2605" s="895"/>
      <c r="L2605" s="895"/>
      <c r="M2605" s="895"/>
      <c r="N2605" s="898"/>
      <c r="O2605" s="682"/>
      <c r="U2605" s="596"/>
    </row>
    <row r="2606" spans="1:21" ht="19.149999999999999" customHeight="1">
      <c r="A2606" s="886"/>
      <c r="B2606" s="887"/>
      <c r="C2606" s="888"/>
      <c r="D2606" s="889"/>
      <c r="E2606" s="890"/>
      <c r="F2606" s="891"/>
      <c r="I2606" s="893"/>
      <c r="J2606" s="894"/>
      <c r="K2606" s="895"/>
      <c r="L2606" s="895"/>
      <c r="M2606" s="895"/>
      <c r="N2606" s="898"/>
      <c r="O2606" s="682"/>
      <c r="U2606" s="596"/>
    </row>
    <row r="2607" spans="1:21" ht="19.149999999999999" customHeight="1">
      <c r="A2607" s="886"/>
      <c r="B2607" s="887"/>
      <c r="C2607" s="888"/>
      <c r="D2607" s="889"/>
      <c r="E2607" s="890"/>
      <c r="F2607" s="891"/>
      <c r="I2607" s="893"/>
      <c r="J2607" s="894"/>
      <c r="K2607" s="895"/>
      <c r="L2607" s="895"/>
      <c r="M2607" s="895"/>
      <c r="N2607" s="898"/>
      <c r="O2607" s="682"/>
      <c r="U2607" s="596"/>
    </row>
    <row r="2608" spans="1:21" ht="19.149999999999999" customHeight="1">
      <c r="A2608" s="886"/>
      <c r="B2608" s="887"/>
      <c r="C2608" s="888"/>
      <c r="D2608" s="889"/>
      <c r="E2608" s="890"/>
      <c r="F2608" s="891"/>
      <c r="I2608" s="893"/>
      <c r="J2608" s="894"/>
      <c r="K2608" s="895"/>
      <c r="L2608" s="895"/>
      <c r="M2608" s="895"/>
      <c r="N2608" s="898"/>
      <c r="O2608" s="682"/>
      <c r="U2608" s="596"/>
    </row>
    <row r="2609" spans="1:21" ht="19.149999999999999" customHeight="1">
      <c r="A2609" s="886"/>
      <c r="B2609" s="887"/>
      <c r="C2609" s="888"/>
      <c r="D2609" s="889"/>
      <c r="E2609" s="890"/>
      <c r="F2609" s="891"/>
      <c r="I2609" s="893"/>
      <c r="J2609" s="894"/>
      <c r="K2609" s="895"/>
      <c r="L2609" s="895"/>
      <c r="M2609" s="895"/>
      <c r="N2609" s="898"/>
      <c r="O2609" s="682"/>
      <c r="U2609" s="596"/>
    </row>
    <row r="2610" spans="1:21" ht="19.149999999999999" customHeight="1">
      <c r="A2610" s="886"/>
      <c r="B2610" s="887"/>
      <c r="C2610" s="888"/>
      <c r="D2610" s="889"/>
      <c r="E2610" s="890"/>
      <c r="F2610" s="891"/>
      <c r="I2610" s="893"/>
      <c r="J2610" s="894"/>
      <c r="K2610" s="895"/>
      <c r="L2610" s="895"/>
      <c r="M2610" s="895"/>
      <c r="O2610" s="682"/>
      <c r="U2610" s="596"/>
    </row>
    <row r="2611" spans="1:21" ht="19.149999999999999" customHeight="1">
      <c r="A2611" s="886"/>
      <c r="B2611" s="887"/>
      <c r="C2611" s="888"/>
      <c r="D2611" s="889"/>
      <c r="E2611" s="890"/>
      <c r="F2611" s="891"/>
      <c r="I2611" s="893"/>
      <c r="J2611" s="894"/>
      <c r="K2611" s="895"/>
      <c r="L2611" s="895"/>
      <c r="M2611" s="895"/>
      <c r="O2611" s="682"/>
      <c r="U2611" s="596"/>
    </row>
    <row r="2612" spans="1:21" ht="19.149999999999999" customHeight="1">
      <c r="A2612" s="886"/>
      <c r="B2612" s="887"/>
      <c r="C2612" s="888"/>
      <c r="D2612" s="889"/>
      <c r="E2612" s="890"/>
      <c r="F2612" s="891"/>
      <c r="I2612" s="893"/>
      <c r="J2612" s="894"/>
      <c r="K2612" s="895"/>
      <c r="L2612" s="895"/>
      <c r="M2612" s="895"/>
      <c r="O2612" s="682"/>
      <c r="U2612" s="596"/>
    </row>
    <row r="2613" spans="1:21" ht="19.149999999999999" customHeight="1">
      <c r="J2613" s="894"/>
      <c r="K2613" s="895"/>
      <c r="L2613" s="895"/>
      <c r="M2613" s="895"/>
      <c r="N2613" s="895"/>
      <c r="O2613" s="682"/>
      <c r="U2613" s="596"/>
    </row>
  </sheetData>
  <mergeCells count="2">
    <mergeCell ref="V1:W1"/>
    <mergeCell ref="Y1:Z1"/>
  </mergeCells>
  <phoneticPr fontId="12" type="noConversion"/>
  <conditionalFormatting sqref="N1786:P1786 G1786:L1786">
    <cfRule type="cellIs" dxfId="7" priority="8" operator="equal">
      <formula>TRUE</formula>
    </cfRule>
    <cfRule type="cellIs" dxfId="6" priority="9" operator="equal">
      <formula>FALSE</formula>
    </cfRule>
  </conditionalFormatting>
  <conditionalFormatting sqref="M1786">
    <cfRule type="cellIs" dxfId="5" priority="5" operator="equal">
      <formula>TRUE</formula>
    </cfRule>
    <cfRule type="cellIs" dxfId="4" priority="6" operator="equal">
      <formula>FALSE</formula>
    </cfRule>
  </conditionalFormatting>
  <printOptions gridLinesSet="0"/>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3" manualBreakCount="63">
    <brk id="24" min="2" max="13" man="1"/>
    <brk id="47" min="2" max="13" man="1"/>
    <brk id="68" min="2" max="13" man="1"/>
    <brk id="87" min="2" max="13" man="1"/>
    <brk id="124" min="2" max="13" man="1"/>
    <brk id="141" min="2" max="13" man="1"/>
    <brk id="156" min="2" max="13" man="1"/>
    <brk id="173" min="2" max="13" man="1"/>
    <brk id="197" min="2" max="13" man="1"/>
    <brk id="218" min="2" max="13" man="1"/>
    <brk id="230" max="16383" man="1"/>
    <brk id="245" min="2" max="13" man="1"/>
    <brk id="263" min="2" max="13" man="1"/>
    <brk id="283" min="2" max="13" man="1"/>
    <brk id="288" max="16383" man="1"/>
    <brk id="308" min="2" max="13" man="1"/>
    <brk id="352" min="2" max="13" man="1"/>
    <brk id="396" min="2" max="13" man="1"/>
    <brk id="419" min="2" max="13" man="1"/>
    <brk id="501" min="2" max="13" man="1"/>
    <brk id="524" min="2" max="13" man="1"/>
    <brk id="542" min="2" max="13" man="1"/>
    <brk id="562" min="2" max="13" man="1"/>
    <brk id="576" min="2" max="13" man="1"/>
    <brk id="588" min="2" max="13" man="1"/>
    <brk id="611" min="2" max="13" man="1"/>
    <brk id="692" min="2" max="13" man="1"/>
    <brk id="750" min="2" max="13" man="1"/>
    <brk id="791" min="2" max="13" man="1"/>
    <brk id="826" min="2" max="13" man="1"/>
    <brk id="844" min="2" max="13" man="1"/>
    <brk id="862" min="2" max="13" man="1"/>
    <brk id="882" min="2" max="13" man="1"/>
    <brk id="902" min="2" max="13" man="1"/>
    <brk id="984" min="2" max="13" man="1"/>
    <brk id="1001" min="2" max="13" man="1"/>
    <brk id="1023" min="2" max="13" man="1"/>
    <brk id="1040" min="2" max="13" man="1"/>
    <brk id="1101" min="2" max="13" man="1"/>
    <brk id="1119" min="2" max="13" man="1"/>
    <brk id="1137" min="2" max="13" man="1"/>
    <brk id="1178" min="2" max="13" man="1"/>
    <brk id="1217" min="2" max="13" man="1"/>
    <brk id="1234" min="2" max="13" man="1"/>
    <brk id="1256" min="2" max="13" man="1"/>
    <brk id="1267" min="2" max="13" man="1"/>
    <brk id="1288" min="2" max="13" man="1"/>
    <brk id="1303" min="2" max="13" man="1"/>
    <brk id="1313" min="2" max="13" man="1"/>
    <brk id="1326" min="2" max="13" man="1"/>
    <brk id="1348" min="2" max="13" man="1"/>
    <brk id="1454" min="2" max="13" man="1"/>
    <brk id="1472" min="2" max="13" man="1"/>
    <brk id="1582" min="2" max="13" man="1"/>
    <brk id="1596" min="2" max="13" man="1"/>
    <brk id="1609" min="2" max="13" man="1"/>
    <brk id="1624" min="2" max="13" man="1"/>
    <brk id="1641" min="2" max="13" man="1"/>
    <brk id="1663" min="2" max="13" man="1"/>
    <brk id="1721" min="2" max="13" man="1"/>
    <brk id="1735" min="2" max="13" man="1"/>
    <brk id="1749" min="2" max="13" man="1"/>
    <brk id="1768" min="2" max="13" man="1"/>
  </rowBreaks>
  <ignoredErrors>
    <ignoredError sqref="E1209:E1210 E1454:E1455 E1478:E147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rightToLeft="1" view="pageBreakPreview" topLeftCell="A37" zoomScale="90" zoomScaleNormal="120" zoomScaleSheetLayoutView="90" workbookViewId="0">
      <selection activeCell="E14" sqref="E14"/>
    </sheetView>
  </sheetViews>
  <sheetFormatPr defaultColWidth="9" defaultRowHeight="14"/>
  <cols>
    <col min="1" max="1" width="14.08203125" style="63" customWidth="1"/>
    <col min="2" max="2" width="5.08203125" style="63" customWidth="1"/>
    <col min="3" max="3" width="78.58203125" style="62" customWidth="1"/>
    <col min="4" max="16384" width="9" style="62"/>
  </cols>
  <sheetData>
    <row r="1" spans="1:3" ht="18">
      <c r="A1" s="105"/>
      <c r="B1" s="60" t="s">
        <v>349</v>
      </c>
      <c r="C1" s="61"/>
    </row>
    <row r="2" spans="1:3" ht="14.25" customHeight="1">
      <c r="C2" s="136"/>
    </row>
    <row r="3" spans="1:3" ht="16.5" customHeight="1">
      <c r="A3" s="1"/>
      <c r="B3" s="63" t="s">
        <v>159</v>
      </c>
      <c r="C3" s="67" t="s">
        <v>495</v>
      </c>
    </row>
    <row r="4" spans="1:3" ht="16.5" customHeight="1">
      <c r="A4" s="1"/>
      <c r="C4" s="65" t="s">
        <v>2037</v>
      </c>
    </row>
    <row r="5" spans="1:3" ht="16.5" customHeight="1">
      <c r="A5" s="1"/>
      <c r="C5" s="65" t="s">
        <v>2008</v>
      </c>
    </row>
    <row r="6" spans="1:3" ht="14.25" customHeight="1">
      <c r="A6" s="1"/>
      <c r="C6" s="64" t="s">
        <v>2393</v>
      </c>
    </row>
    <row r="7" spans="1:3" ht="14.25" customHeight="1">
      <c r="A7" s="1"/>
      <c r="C7" s="64" t="s">
        <v>2038</v>
      </c>
    </row>
    <row r="8" spans="1:3" ht="16.5" customHeight="1">
      <c r="A8" s="1"/>
      <c r="C8" s="69"/>
    </row>
    <row r="9" spans="1:3" ht="16.5" customHeight="1">
      <c r="A9" s="1"/>
      <c r="B9" s="63" t="s">
        <v>161</v>
      </c>
      <c r="C9" s="67" t="s">
        <v>496</v>
      </c>
    </row>
    <row r="10" spans="1:3" ht="16.5" customHeight="1">
      <c r="A10" s="1"/>
      <c r="C10" s="64" t="s">
        <v>2039</v>
      </c>
    </row>
    <row r="11" spans="1:3" ht="16.5" customHeight="1">
      <c r="A11" s="1"/>
      <c r="C11" s="64" t="s">
        <v>2040</v>
      </c>
    </row>
    <row r="12" spans="1:3" ht="16.5" customHeight="1">
      <c r="A12" s="1"/>
      <c r="C12" s="69"/>
    </row>
    <row r="13" spans="1:3" ht="16.5" customHeight="1">
      <c r="A13" s="1"/>
      <c r="B13" s="63" t="s">
        <v>163</v>
      </c>
      <c r="C13" s="67" t="s">
        <v>2380</v>
      </c>
    </row>
    <row r="14" spans="1:3" ht="16.5" customHeight="1">
      <c r="A14" s="1"/>
      <c r="C14" s="64" t="s">
        <v>2041</v>
      </c>
    </row>
    <row r="15" spans="1:3" ht="16.5" customHeight="1">
      <c r="A15" s="1"/>
      <c r="C15" s="98" t="s">
        <v>2042</v>
      </c>
    </row>
    <row r="16" spans="1:3" ht="16.5" customHeight="1">
      <c r="A16" s="1"/>
      <c r="C16" s="68"/>
    </row>
    <row r="17" spans="1:3" ht="16.5" customHeight="1">
      <c r="A17" s="1"/>
      <c r="B17" s="63" t="s">
        <v>165</v>
      </c>
      <c r="C17" s="67" t="s">
        <v>2381</v>
      </c>
    </row>
    <row r="18" spans="1:3" ht="16.5" customHeight="1">
      <c r="A18" s="1"/>
      <c r="C18" s="64" t="s">
        <v>2043</v>
      </c>
    </row>
    <row r="19" spans="1:3" ht="16.5" customHeight="1">
      <c r="A19" s="1"/>
      <c r="C19" s="64" t="s">
        <v>2044</v>
      </c>
    </row>
    <row r="20" spans="1:3" ht="16.5" customHeight="1">
      <c r="A20" s="1"/>
      <c r="C20" s="64" t="s">
        <v>2045</v>
      </c>
    </row>
    <row r="21" spans="1:3" ht="16.5" customHeight="1">
      <c r="A21" s="1"/>
      <c r="C21" s="64" t="s">
        <v>2046</v>
      </c>
    </row>
    <row r="22" spans="1:3" ht="16.5" customHeight="1">
      <c r="A22" s="1"/>
      <c r="C22" s="118"/>
    </row>
    <row r="23" spans="1:3" ht="16.5" customHeight="1">
      <c r="A23" s="1"/>
      <c r="B23" s="63" t="s">
        <v>255</v>
      </c>
      <c r="C23" s="67" t="s">
        <v>2382</v>
      </c>
    </row>
    <row r="24" spans="1:3" ht="16.5" customHeight="1">
      <c r="A24" s="1"/>
      <c r="C24" s="64" t="s">
        <v>1631</v>
      </c>
    </row>
    <row r="25" spans="1:3" ht="16.5" customHeight="1">
      <c r="A25" s="1"/>
      <c r="C25" s="64" t="s">
        <v>1910</v>
      </c>
    </row>
    <row r="26" spans="1:3" ht="16.5" customHeight="1">
      <c r="A26" s="1"/>
      <c r="C26" s="64" t="s">
        <v>2047</v>
      </c>
    </row>
    <row r="27" spans="1:3" ht="16.5" customHeight="1">
      <c r="A27" s="1"/>
      <c r="C27" s="64" t="s">
        <v>2048</v>
      </c>
    </row>
    <row r="28" spans="1:3" ht="14.25" customHeight="1">
      <c r="A28" s="1"/>
      <c r="C28" s="68"/>
    </row>
    <row r="29" spans="1:3" ht="16.5" customHeight="1">
      <c r="A29" s="1"/>
      <c r="B29" s="63" t="s">
        <v>386</v>
      </c>
      <c r="C29" s="67" t="s">
        <v>2383</v>
      </c>
    </row>
    <row r="30" spans="1:3" ht="16.5" customHeight="1">
      <c r="A30" s="1"/>
      <c r="C30" s="64" t="s">
        <v>1632</v>
      </c>
    </row>
    <row r="31" spans="1:3" ht="16.5" customHeight="1">
      <c r="A31" s="1"/>
      <c r="C31" s="68"/>
    </row>
    <row r="32" spans="1:3" ht="16.5" customHeight="1">
      <c r="A32" s="1"/>
      <c r="B32" s="63" t="s">
        <v>388</v>
      </c>
      <c r="C32" s="67" t="s">
        <v>2384</v>
      </c>
    </row>
    <row r="33" spans="1:3" ht="16.5" customHeight="1">
      <c r="A33" s="1"/>
      <c r="C33" s="64" t="s">
        <v>2049</v>
      </c>
    </row>
    <row r="34" spans="1:3" ht="16.5" customHeight="1">
      <c r="A34" s="1"/>
      <c r="C34" s="64" t="s">
        <v>2051</v>
      </c>
    </row>
    <row r="35" spans="1:3" ht="16.5" customHeight="1">
      <c r="A35" s="1"/>
      <c r="C35" s="64" t="s">
        <v>2050</v>
      </c>
    </row>
    <row r="36" spans="1:3" ht="16.5" customHeight="1">
      <c r="A36" s="1"/>
      <c r="C36" s="69"/>
    </row>
    <row r="37" spans="1:3" ht="16.5" customHeight="1">
      <c r="A37" s="1"/>
      <c r="B37" s="63" t="s">
        <v>389</v>
      </c>
      <c r="C37" s="67" t="s">
        <v>1228</v>
      </c>
    </row>
    <row r="38" spans="1:3" ht="16.5" customHeight="1">
      <c r="A38" s="1"/>
      <c r="C38" s="64" t="s">
        <v>2052</v>
      </c>
    </row>
    <row r="39" spans="1:3" ht="16.5" customHeight="1">
      <c r="A39" s="1"/>
      <c r="C39" s="64" t="s">
        <v>2053</v>
      </c>
    </row>
    <row r="40" spans="1:3" ht="16.5" customHeight="1">
      <c r="A40" s="1"/>
      <c r="C40" s="68"/>
    </row>
    <row r="41" spans="1:3" ht="16.5" customHeight="1">
      <c r="A41" s="1"/>
      <c r="B41" s="63" t="s">
        <v>743</v>
      </c>
      <c r="C41" s="67" t="s">
        <v>2385</v>
      </c>
    </row>
    <row r="42" spans="1:3" ht="16.5" customHeight="1">
      <c r="A42" s="1"/>
      <c r="C42" s="64" t="s">
        <v>2054</v>
      </c>
    </row>
    <row r="43" spans="1:3" ht="16.5" customHeight="1">
      <c r="A43" s="1"/>
      <c r="C43" s="64" t="s">
        <v>2055</v>
      </c>
    </row>
    <row r="44" spans="1:3" ht="16.5" customHeight="1">
      <c r="A44" s="1"/>
      <c r="C44" s="69"/>
    </row>
    <row r="45" spans="1:3" ht="16.5" customHeight="1">
      <c r="A45" s="1"/>
      <c r="B45" s="63" t="s">
        <v>1060</v>
      </c>
      <c r="C45" s="67" t="s">
        <v>2386</v>
      </c>
    </row>
    <row r="46" spans="1:3" ht="16.5" customHeight="1">
      <c r="A46" s="1"/>
      <c r="C46" s="64" t="s">
        <v>1911</v>
      </c>
    </row>
    <row r="47" spans="1:3" ht="16.5" customHeight="1">
      <c r="A47" s="1"/>
      <c r="C47" s="68"/>
    </row>
    <row r="48" spans="1:3" ht="16.5" customHeight="1">
      <c r="A48" s="1"/>
      <c r="B48" s="63" t="s">
        <v>266</v>
      </c>
      <c r="C48" s="67" t="s">
        <v>631</v>
      </c>
    </row>
    <row r="49" spans="1:3" ht="16.5" customHeight="1">
      <c r="A49" s="1"/>
      <c r="C49" s="64" t="s">
        <v>1633</v>
      </c>
    </row>
    <row r="50" spans="1:3" ht="16.5" customHeight="1">
      <c r="A50" s="1"/>
      <c r="C50" s="68"/>
    </row>
    <row r="51" spans="1:3" ht="16.5" customHeight="1">
      <c r="A51" s="1"/>
      <c r="B51" s="63" t="s">
        <v>1126</v>
      </c>
      <c r="C51" s="66" t="s">
        <v>173</v>
      </c>
    </row>
    <row r="52" spans="1:3" ht="16.5" customHeight="1">
      <c r="A52" s="1"/>
      <c r="C52" s="65" t="s">
        <v>2056</v>
      </c>
    </row>
    <row r="53" spans="1:3" ht="16.5" customHeight="1">
      <c r="A53" s="1"/>
    </row>
    <row r="54" spans="1:3">
      <c r="A54" s="1"/>
    </row>
    <row r="55" spans="1:3">
      <c r="A55" s="1"/>
    </row>
    <row r="56" spans="1:3">
      <c r="A56" s="1"/>
    </row>
    <row r="57" spans="1:3">
      <c r="A57" s="1"/>
    </row>
    <row r="58" spans="1:3">
      <c r="A58" s="1"/>
    </row>
    <row r="59" spans="1:3">
      <c r="A59" s="1"/>
    </row>
    <row r="60" spans="1:3">
      <c r="A60" s="1"/>
    </row>
    <row r="61" spans="1:3">
      <c r="A61" s="1"/>
    </row>
  </sheetData>
  <phoneticPr fontId="12" type="noConversion"/>
  <pageMargins left="0.74803149606299213" right="0.6692913385826772" top="1.1023622047244095" bottom="0.43307086614173229" header="0.43307086614173229" footer="0.15748031496062992"/>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8" max="16383" man="1"/>
    <brk id="219" max="16383" man="1"/>
    <brk id="231" max="16383" man="1"/>
    <brk id="1082" max="16383" man="1"/>
    <brk id="1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7"/>
  <sheetViews>
    <sheetView showGridLines="0" rightToLeft="1" view="pageBreakPreview" zoomScale="90" zoomScaleNormal="100" zoomScaleSheetLayoutView="90" workbookViewId="0">
      <pane ySplit="2" topLeftCell="A3" activePane="bottomLeft" state="frozen"/>
      <selection activeCell="D68" sqref="D68"/>
      <selection pane="bottomLeft" activeCell="A3" sqref="A3"/>
    </sheetView>
  </sheetViews>
  <sheetFormatPr defaultColWidth="9" defaultRowHeight="25.4" customHeight="1"/>
  <cols>
    <col min="1" max="1" width="14.08203125" style="535" customWidth="1"/>
    <col min="2" max="2" width="3.83203125" style="337" customWidth="1"/>
    <col min="3" max="4" width="6.58203125" style="337" customWidth="1"/>
    <col min="5" max="5" width="31.58203125" style="337" customWidth="1"/>
    <col min="6" max="6" width="8.58203125" style="337" customWidth="1"/>
    <col min="7" max="7" width="6.58203125" style="337" customWidth="1"/>
    <col min="8" max="8" width="8.58203125" style="337" customWidth="1"/>
    <col min="9" max="9" width="7.58203125" style="337" customWidth="1"/>
    <col min="10" max="10" width="1.58203125" style="337" bestFit="1" customWidth="1"/>
    <col min="11" max="11" width="9.75" style="337" customWidth="1"/>
    <col min="12" max="13" width="8.58203125" style="337" customWidth="1"/>
    <col min="14" max="14" width="9" style="337" bestFit="1" customWidth="1"/>
    <col min="15" max="15" width="8.58203125" style="337" customWidth="1"/>
    <col min="16" max="16384" width="9" style="337"/>
  </cols>
  <sheetData>
    <row r="1" spans="1:15" ht="25.4" customHeight="1">
      <c r="A1" s="414"/>
      <c r="B1" s="352"/>
      <c r="C1" s="353"/>
      <c r="D1" s="354"/>
      <c r="E1" s="355" t="s">
        <v>2321</v>
      </c>
      <c r="F1" s="1153" t="s">
        <v>1695</v>
      </c>
      <c r="G1" s="1154"/>
      <c r="H1" s="356" t="s">
        <v>945</v>
      </c>
      <c r="I1" s="357" t="s">
        <v>438</v>
      </c>
      <c r="J1" s="358"/>
      <c r="K1" s="335" t="s">
        <v>780</v>
      </c>
      <c r="L1" s="335" t="s">
        <v>954</v>
      </c>
      <c r="M1" s="335" t="s">
        <v>780</v>
      </c>
      <c r="N1" s="335" t="s">
        <v>780</v>
      </c>
      <c r="O1" s="359" t="s">
        <v>955</v>
      </c>
    </row>
    <row r="2" spans="1:15" ht="25.4" customHeight="1" thickBot="1">
      <c r="A2" s="415" t="s">
        <v>1356</v>
      </c>
      <c r="B2" s="360" t="s">
        <v>41</v>
      </c>
      <c r="C2" s="361" t="s">
        <v>40</v>
      </c>
      <c r="D2" s="362" t="s">
        <v>158</v>
      </c>
      <c r="E2" s="363" t="s">
        <v>1696</v>
      </c>
      <c r="F2" s="364" t="s">
        <v>1697</v>
      </c>
      <c r="G2" s="365" t="s">
        <v>1698</v>
      </c>
      <c r="H2" s="366" t="s">
        <v>753</v>
      </c>
      <c r="I2" s="367" t="s">
        <v>1242</v>
      </c>
      <c r="J2" s="368" t="s">
        <v>42</v>
      </c>
      <c r="K2" s="369" t="s">
        <v>2081</v>
      </c>
      <c r="L2" s="370" t="s">
        <v>1915</v>
      </c>
      <c r="M2" s="336" t="s">
        <v>2080</v>
      </c>
      <c r="N2" s="336" t="s">
        <v>2079</v>
      </c>
      <c r="O2" s="371" t="s">
        <v>1796</v>
      </c>
    </row>
    <row r="3" spans="1:15" ht="25.4" customHeight="1">
      <c r="A3" s="559" t="s">
        <v>757</v>
      </c>
      <c r="B3" s="560">
        <v>1</v>
      </c>
      <c r="C3" s="561">
        <v>100</v>
      </c>
      <c r="D3" s="562">
        <v>611100</v>
      </c>
      <c r="E3" s="563" t="s">
        <v>848</v>
      </c>
      <c r="F3" s="564">
        <f>H3-G3</f>
        <v>4</v>
      </c>
      <c r="G3" s="565">
        <v>0</v>
      </c>
      <c r="H3" s="566">
        <v>4</v>
      </c>
      <c r="I3" s="567">
        <v>4</v>
      </c>
      <c r="J3" s="568" t="s">
        <v>669</v>
      </c>
      <c r="K3" s="569">
        <v>3350</v>
      </c>
      <c r="L3" s="570">
        <v>3250</v>
      </c>
      <c r="M3" s="570">
        <v>3268</v>
      </c>
      <c r="N3" s="570">
        <v>3288</v>
      </c>
      <c r="O3" s="571">
        <v>3083.9394900000002</v>
      </c>
    </row>
    <row r="4" spans="1:15" ht="25.4" customHeight="1">
      <c r="A4" s="416" t="s">
        <v>480</v>
      </c>
      <c r="B4" s="328">
        <v>1</v>
      </c>
      <c r="C4" s="329">
        <v>100</v>
      </c>
      <c r="D4" s="330">
        <v>611200</v>
      </c>
      <c r="E4" s="372" t="s">
        <v>328</v>
      </c>
      <c r="F4" s="373">
        <f>H4-G4</f>
        <v>7</v>
      </c>
      <c r="G4" s="374">
        <v>0</v>
      </c>
      <c r="H4" s="375">
        <v>7</v>
      </c>
      <c r="I4" s="326">
        <v>6.9342666666666659</v>
      </c>
      <c r="J4" s="331" t="s">
        <v>669</v>
      </c>
      <c r="K4" s="332">
        <v>1300</v>
      </c>
      <c r="L4" s="333">
        <v>1220</v>
      </c>
      <c r="M4" s="333">
        <v>1236</v>
      </c>
      <c r="N4" s="333">
        <v>1261</v>
      </c>
      <c r="O4" s="334">
        <v>1214.49019</v>
      </c>
    </row>
    <row r="5" spans="1:15" ht="25.4" customHeight="1">
      <c r="A5" s="416" t="s">
        <v>341</v>
      </c>
      <c r="B5" s="328">
        <v>1</v>
      </c>
      <c r="C5" s="329">
        <v>100</v>
      </c>
      <c r="D5" s="330">
        <v>611300</v>
      </c>
      <c r="E5" s="372" t="s">
        <v>285</v>
      </c>
      <c r="F5" s="373">
        <f t="shared" ref="F5:F68" si="0">H5-G5</f>
        <v>25</v>
      </c>
      <c r="G5" s="374">
        <v>0</v>
      </c>
      <c r="H5" s="375">
        <v>25</v>
      </c>
      <c r="I5" s="326">
        <v>24.38015</v>
      </c>
      <c r="J5" s="331" t="s">
        <v>669</v>
      </c>
      <c r="K5" s="332">
        <v>5560</v>
      </c>
      <c r="L5" s="333">
        <v>5200</v>
      </c>
      <c r="M5" s="333">
        <v>5702</v>
      </c>
      <c r="N5" s="333">
        <v>5978</v>
      </c>
      <c r="O5" s="334">
        <v>4846.5619500000003</v>
      </c>
    </row>
    <row r="6" spans="1:15" ht="25.4" customHeight="1">
      <c r="A6" s="416" t="s">
        <v>341</v>
      </c>
      <c r="B6" s="328">
        <v>1</v>
      </c>
      <c r="C6" s="329">
        <v>101</v>
      </c>
      <c r="D6" s="330">
        <v>611300</v>
      </c>
      <c r="E6" s="372" t="s">
        <v>1958</v>
      </c>
      <c r="F6" s="373">
        <f t="shared" si="0"/>
        <v>0</v>
      </c>
      <c r="G6" s="374">
        <v>1.69</v>
      </c>
      <c r="H6" s="375">
        <v>1.69</v>
      </c>
      <c r="I6" s="327">
        <v>0.93278333333333352</v>
      </c>
      <c r="J6" s="331" t="s">
        <v>669</v>
      </c>
      <c r="K6" s="332">
        <v>205</v>
      </c>
      <c r="L6" s="333">
        <v>130</v>
      </c>
      <c r="M6" s="333">
        <v>151</v>
      </c>
      <c r="N6" s="333">
        <v>154</v>
      </c>
      <c r="O6" s="334">
        <v>84.31819999999999</v>
      </c>
    </row>
    <row r="7" spans="1:15" ht="25.4" customHeight="1">
      <c r="A7" s="416" t="s">
        <v>178</v>
      </c>
      <c r="B7" s="328">
        <v>1</v>
      </c>
      <c r="C7" s="329">
        <v>100</v>
      </c>
      <c r="D7" s="330">
        <v>612000</v>
      </c>
      <c r="E7" s="372" t="s">
        <v>1058</v>
      </c>
      <c r="F7" s="373">
        <f t="shared" si="0"/>
        <v>5</v>
      </c>
      <c r="G7" s="374">
        <v>0</v>
      </c>
      <c r="H7" s="375">
        <v>5</v>
      </c>
      <c r="I7" s="327">
        <v>3</v>
      </c>
      <c r="J7" s="331" t="s">
        <v>669</v>
      </c>
      <c r="K7" s="332">
        <v>1300</v>
      </c>
      <c r="L7" s="333">
        <v>940</v>
      </c>
      <c r="M7" s="333">
        <v>1225</v>
      </c>
      <c r="N7" s="333">
        <v>1225</v>
      </c>
      <c r="O7" s="334">
        <v>922.69768999999997</v>
      </c>
    </row>
    <row r="8" spans="1:15" ht="25.4" customHeight="1">
      <c r="A8" s="416" t="s">
        <v>150</v>
      </c>
      <c r="B8" s="328">
        <v>1</v>
      </c>
      <c r="C8" s="329">
        <v>100</v>
      </c>
      <c r="D8" s="330">
        <v>612100</v>
      </c>
      <c r="E8" s="372" t="s">
        <v>1058</v>
      </c>
      <c r="F8" s="373">
        <f t="shared" si="0"/>
        <v>4</v>
      </c>
      <c r="G8" s="374">
        <v>0</v>
      </c>
      <c r="H8" s="375">
        <v>4</v>
      </c>
      <c r="I8" s="327">
        <v>3.2685999999999997</v>
      </c>
      <c r="J8" s="331" t="s">
        <v>669</v>
      </c>
      <c r="K8" s="332">
        <v>930</v>
      </c>
      <c r="L8" s="333">
        <v>793</v>
      </c>
      <c r="M8" s="333">
        <v>793</v>
      </c>
      <c r="N8" s="333">
        <v>767</v>
      </c>
      <c r="O8" s="334">
        <v>595.87333999999998</v>
      </c>
    </row>
    <row r="9" spans="1:15" ht="25.4" customHeight="1">
      <c r="A9" s="416" t="s">
        <v>2322</v>
      </c>
      <c r="B9" s="328">
        <v>1</v>
      </c>
      <c r="C9" s="329">
        <v>100</v>
      </c>
      <c r="D9" s="330">
        <v>613000</v>
      </c>
      <c r="E9" s="372" t="s">
        <v>1058</v>
      </c>
      <c r="F9" s="373">
        <f t="shared" si="0"/>
        <v>9.42</v>
      </c>
      <c r="G9" s="374">
        <v>0</v>
      </c>
      <c r="H9" s="375">
        <v>9.42</v>
      </c>
      <c r="I9" s="327">
        <v>8.4234999999999989</v>
      </c>
      <c r="J9" s="331" t="s">
        <v>669</v>
      </c>
      <c r="K9" s="332">
        <v>1965</v>
      </c>
      <c r="L9" s="333">
        <v>1710</v>
      </c>
      <c r="M9" s="333">
        <v>1823</v>
      </c>
      <c r="N9" s="333">
        <v>2112</v>
      </c>
      <c r="O9" s="334">
        <v>1531.13237</v>
      </c>
    </row>
    <row r="10" spans="1:15" ht="25.4" customHeight="1">
      <c r="A10" s="416" t="s">
        <v>1967</v>
      </c>
      <c r="B10" s="328">
        <v>1</v>
      </c>
      <c r="C10" s="329">
        <v>100</v>
      </c>
      <c r="D10" s="330">
        <v>613001</v>
      </c>
      <c r="E10" s="372" t="s">
        <v>1058</v>
      </c>
      <c r="F10" s="373">
        <f t="shared" si="0"/>
        <v>3</v>
      </c>
      <c r="G10" s="374">
        <v>0</v>
      </c>
      <c r="H10" s="375">
        <v>3</v>
      </c>
      <c r="I10" s="327">
        <v>3</v>
      </c>
      <c r="J10" s="331" t="s">
        <v>669</v>
      </c>
      <c r="K10" s="332">
        <v>580</v>
      </c>
      <c r="L10" s="333">
        <v>520</v>
      </c>
      <c r="M10" s="333">
        <v>605</v>
      </c>
      <c r="N10" s="333">
        <v>617</v>
      </c>
      <c r="O10" s="334">
        <v>0</v>
      </c>
    </row>
    <row r="11" spans="1:15" ht="25.4" customHeight="1">
      <c r="A11" s="416" t="s">
        <v>867</v>
      </c>
      <c r="B11" s="328">
        <v>12</v>
      </c>
      <c r="C11" s="329">
        <v>100</v>
      </c>
      <c r="D11" s="330">
        <v>614000</v>
      </c>
      <c r="E11" s="376" t="s">
        <v>1058</v>
      </c>
      <c r="F11" s="373">
        <f t="shared" si="0"/>
        <v>7</v>
      </c>
      <c r="G11" s="374">
        <v>0</v>
      </c>
      <c r="H11" s="375">
        <v>7</v>
      </c>
      <c r="I11" s="327">
        <v>7</v>
      </c>
      <c r="J11" s="331" t="s">
        <v>669</v>
      </c>
      <c r="K11" s="332">
        <v>1677</v>
      </c>
      <c r="L11" s="333">
        <v>1640</v>
      </c>
      <c r="M11" s="333">
        <v>1719</v>
      </c>
      <c r="N11" s="333">
        <v>1754</v>
      </c>
      <c r="O11" s="334">
        <v>1657.43496</v>
      </c>
    </row>
    <row r="12" spans="1:15" ht="25.4" customHeight="1">
      <c r="A12" s="416" t="s">
        <v>886</v>
      </c>
      <c r="B12" s="328">
        <v>11</v>
      </c>
      <c r="C12" s="377">
        <v>100</v>
      </c>
      <c r="D12" s="330">
        <v>615000</v>
      </c>
      <c r="E12" s="376" t="s">
        <v>848</v>
      </c>
      <c r="F12" s="373">
        <f t="shared" si="0"/>
        <v>15.55</v>
      </c>
      <c r="G12" s="374">
        <v>0</v>
      </c>
      <c r="H12" s="375">
        <v>15.55</v>
      </c>
      <c r="I12" s="327">
        <v>14.200633333333336</v>
      </c>
      <c r="J12" s="331" t="s">
        <v>669</v>
      </c>
      <c r="K12" s="332">
        <v>3210</v>
      </c>
      <c r="L12" s="333">
        <v>2930</v>
      </c>
      <c r="M12" s="333">
        <v>3005</v>
      </c>
      <c r="N12" s="333">
        <v>3079</v>
      </c>
      <c r="O12" s="334">
        <v>2758.9195499999996</v>
      </c>
    </row>
    <row r="13" spans="1:15" ht="25.4" customHeight="1">
      <c r="A13" s="416" t="s">
        <v>78</v>
      </c>
      <c r="B13" s="328">
        <v>10</v>
      </c>
      <c r="C13" s="329">
        <v>100</v>
      </c>
      <c r="D13" s="330">
        <v>616000</v>
      </c>
      <c r="E13" s="372" t="s">
        <v>848</v>
      </c>
      <c r="F13" s="373">
        <f t="shared" si="0"/>
        <v>16</v>
      </c>
      <c r="G13" s="374">
        <v>0</v>
      </c>
      <c r="H13" s="375">
        <v>16</v>
      </c>
      <c r="I13" s="327">
        <v>14</v>
      </c>
      <c r="J13" s="331" t="s">
        <v>669</v>
      </c>
      <c r="K13" s="332">
        <v>3567</v>
      </c>
      <c r="L13" s="333">
        <v>3223</v>
      </c>
      <c r="M13" s="333">
        <v>3223</v>
      </c>
      <c r="N13" s="333">
        <v>3288</v>
      </c>
      <c r="O13" s="334">
        <v>3012.12446</v>
      </c>
    </row>
    <row r="14" spans="1:15" ht="25.4" customHeight="1">
      <c r="A14" s="416" t="s">
        <v>940</v>
      </c>
      <c r="B14" s="328">
        <v>1</v>
      </c>
      <c r="C14" s="329">
        <v>100</v>
      </c>
      <c r="D14" s="330">
        <v>617000</v>
      </c>
      <c r="E14" s="372" t="s">
        <v>1058</v>
      </c>
      <c r="F14" s="373">
        <f t="shared" si="0"/>
        <v>9</v>
      </c>
      <c r="G14" s="374">
        <v>0</v>
      </c>
      <c r="H14" s="375">
        <v>9</v>
      </c>
      <c r="I14" s="327">
        <v>8.4277833333333323</v>
      </c>
      <c r="J14" s="331" t="s">
        <v>669</v>
      </c>
      <c r="K14" s="332">
        <v>2900</v>
      </c>
      <c r="L14" s="333">
        <v>2580</v>
      </c>
      <c r="M14" s="333">
        <v>2852</v>
      </c>
      <c r="N14" s="333">
        <v>2910</v>
      </c>
      <c r="O14" s="334">
        <v>2215.10142</v>
      </c>
    </row>
    <row r="15" spans="1:15" ht="25.4" customHeight="1">
      <c r="A15" s="416" t="s">
        <v>191</v>
      </c>
      <c r="B15" s="328">
        <v>2</v>
      </c>
      <c r="C15" s="329">
        <v>100</v>
      </c>
      <c r="D15" s="330">
        <v>621000</v>
      </c>
      <c r="E15" s="378" t="s">
        <v>848</v>
      </c>
      <c r="F15" s="373">
        <f t="shared" si="0"/>
        <v>35</v>
      </c>
      <c r="G15" s="374">
        <v>0</v>
      </c>
      <c r="H15" s="375">
        <v>35</v>
      </c>
      <c r="I15" s="327">
        <v>32.409866666666659</v>
      </c>
      <c r="J15" s="331" t="s">
        <v>669</v>
      </c>
      <c r="K15" s="332">
        <v>7450</v>
      </c>
      <c r="L15" s="333">
        <v>6800</v>
      </c>
      <c r="M15" s="333">
        <v>7274</v>
      </c>
      <c r="N15" s="333">
        <v>7553</v>
      </c>
      <c r="O15" s="334">
        <v>6599.8558200000007</v>
      </c>
    </row>
    <row r="16" spans="1:15" ht="25.4" customHeight="1">
      <c r="A16" s="416" t="s">
        <v>514</v>
      </c>
      <c r="B16" s="328">
        <v>2</v>
      </c>
      <c r="C16" s="329">
        <v>100</v>
      </c>
      <c r="D16" s="330">
        <v>623000</v>
      </c>
      <c r="E16" s="372" t="s">
        <v>1058</v>
      </c>
      <c r="F16" s="373">
        <f t="shared" si="0"/>
        <v>43.5</v>
      </c>
      <c r="G16" s="374">
        <v>0</v>
      </c>
      <c r="H16" s="375">
        <v>43.5</v>
      </c>
      <c r="I16" s="327">
        <v>41.725850000000001</v>
      </c>
      <c r="J16" s="331" t="s">
        <v>669</v>
      </c>
      <c r="K16" s="332">
        <v>7215</v>
      </c>
      <c r="L16" s="333">
        <v>6810</v>
      </c>
      <c r="M16" s="333">
        <v>6836</v>
      </c>
      <c r="N16" s="333">
        <v>6975</v>
      </c>
      <c r="O16" s="334">
        <v>6443.9377800000002</v>
      </c>
    </row>
    <row r="17" spans="1:15" ht="25.4" customHeight="1">
      <c r="A17" s="416" t="s">
        <v>514</v>
      </c>
      <c r="B17" s="328">
        <v>2</v>
      </c>
      <c r="C17" s="329">
        <v>101</v>
      </c>
      <c r="D17" s="330">
        <v>623000</v>
      </c>
      <c r="E17" s="372" t="s">
        <v>1209</v>
      </c>
      <c r="F17" s="373">
        <f t="shared" si="0"/>
        <v>7.5</v>
      </c>
      <c r="G17" s="374">
        <v>0</v>
      </c>
      <c r="H17" s="375">
        <v>7.5</v>
      </c>
      <c r="I17" s="327">
        <v>6.3735499999999998</v>
      </c>
      <c r="J17" s="331" t="s">
        <v>669</v>
      </c>
      <c r="K17" s="332">
        <v>995</v>
      </c>
      <c r="L17" s="333">
        <v>830</v>
      </c>
      <c r="M17" s="333">
        <v>973</v>
      </c>
      <c r="N17" s="333">
        <v>992</v>
      </c>
      <c r="O17" s="334">
        <v>756.13108</v>
      </c>
    </row>
    <row r="18" spans="1:15" ht="25.4" customHeight="1">
      <c r="A18" s="416" t="s">
        <v>152</v>
      </c>
      <c r="B18" s="328">
        <v>3</v>
      </c>
      <c r="C18" s="329">
        <v>100</v>
      </c>
      <c r="D18" s="330">
        <v>711000</v>
      </c>
      <c r="E18" s="372" t="s">
        <v>1058</v>
      </c>
      <c r="F18" s="373">
        <f t="shared" si="0"/>
        <v>8.5</v>
      </c>
      <c r="G18" s="374">
        <v>0</v>
      </c>
      <c r="H18" s="375">
        <v>8.5</v>
      </c>
      <c r="I18" s="327">
        <v>8.1999999999999993</v>
      </c>
      <c r="J18" s="331" t="s">
        <v>669</v>
      </c>
      <c r="K18" s="332">
        <v>2105</v>
      </c>
      <c r="L18" s="333">
        <v>2024</v>
      </c>
      <c r="M18" s="333">
        <v>2029</v>
      </c>
      <c r="N18" s="333">
        <v>2029</v>
      </c>
      <c r="O18" s="334">
        <v>1916.6893700000001</v>
      </c>
    </row>
    <row r="19" spans="1:15" ht="25.4" customHeight="1">
      <c r="A19" s="416" t="s">
        <v>152</v>
      </c>
      <c r="B19" s="328">
        <v>3</v>
      </c>
      <c r="C19" s="329">
        <v>101</v>
      </c>
      <c r="D19" s="330">
        <v>711000</v>
      </c>
      <c r="E19" s="372" t="s">
        <v>1783</v>
      </c>
      <c r="F19" s="373">
        <f t="shared" si="0"/>
        <v>5</v>
      </c>
      <c r="G19" s="374">
        <v>0</v>
      </c>
      <c r="H19" s="375">
        <v>5</v>
      </c>
      <c r="I19" s="327">
        <v>5</v>
      </c>
      <c r="J19" s="331" t="s">
        <v>669</v>
      </c>
      <c r="K19" s="332">
        <v>1133</v>
      </c>
      <c r="L19" s="333">
        <v>1107</v>
      </c>
      <c r="M19" s="333">
        <v>1220</v>
      </c>
      <c r="N19" s="333">
        <v>1275</v>
      </c>
      <c r="O19" s="334">
        <v>1136.3294900000001</v>
      </c>
    </row>
    <row r="20" spans="1:15" ht="25.4" customHeight="1">
      <c r="A20" s="416" t="s">
        <v>489</v>
      </c>
      <c r="B20" s="328">
        <v>3</v>
      </c>
      <c r="C20" s="329">
        <v>100</v>
      </c>
      <c r="D20" s="330">
        <v>712000</v>
      </c>
      <c r="E20" s="372" t="s">
        <v>848</v>
      </c>
      <c r="F20" s="373">
        <f t="shared" si="0"/>
        <v>8</v>
      </c>
      <c r="G20" s="374">
        <v>0</v>
      </c>
      <c r="H20" s="375">
        <v>8</v>
      </c>
      <c r="I20" s="327">
        <v>7</v>
      </c>
      <c r="J20" s="331" t="s">
        <v>669</v>
      </c>
      <c r="K20" s="332">
        <v>1677</v>
      </c>
      <c r="L20" s="333">
        <v>1473</v>
      </c>
      <c r="M20" s="333">
        <v>1431</v>
      </c>
      <c r="N20" s="333">
        <v>1401</v>
      </c>
      <c r="O20" s="334">
        <v>1309.5201499999998</v>
      </c>
    </row>
    <row r="21" spans="1:15" ht="25.4" customHeight="1">
      <c r="A21" s="416" t="s">
        <v>489</v>
      </c>
      <c r="B21" s="328">
        <v>3</v>
      </c>
      <c r="C21" s="329">
        <v>101</v>
      </c>
      <c r="D21" s="330">
        <v>712000</v>
      </c>
      <c r="E21" s="376" t="s">
        <v>1256</v>
      </c>
      <c r="F21" s="373">
        <f t="shared" si="0"/>
        <v>2</v>
      </c>
      <c r="G21" s="374">
        <v>0</v>
      </c>
      <c r="H21" s="375">
        <v>2</v>
      </c>
      <c r="I21" s="327">
        <v>2</v>
      </c>
      <c r="J21" s="331" t="s">
        <v>669</v>
      </c>
      <c r="K21" s="332">
        <v>463</v>
      </c>
      <c r="L21" s="333">
        <v>452</v>
      </c>
      <c r="M21" s="333">
        <v>421</v>
      </c>
      <c r="N21" s="333">
        <v>421</v>
      </c>
      <c r="O21" s="334">
        <v>422.55632000000003</v>
      </c>
    </row>
    <row r="22" spans="1:15" ht="25.4" customHeight="1">
      <c r="A22" s="416" t="s">
        <v>489</v>
      </c>
      <c r="B22" s="328">
        <v>3</v>
      </c>
      <c r="C22" s="377">
        <v>102</v>
      </c>
      <c r="D22" s="330">
        <v>712000</v>
      </c>
      <c r="E22" s="376" t="s">
        <v>1383</v>
      </c>
      <c r="F22" s="373">
        <f t="shared" si="0"/>
        <v>7</v>
      </c>
      <c r="G22" s="374">
        <v>0</v>
      </c>
      <c r="H22" s="375">
        <v>7</v>
      </c>
      <c r="I22" s="327">
        <v>7</v>
      </c>
      <c r="J22" s="331" t="s">
        <v>669</v>
      </c>
      <c r="K22" s="332">
        <v>1245</v>
      </c>
      <c r="L22" s="333">
        <v>1204</v>
      </c>
      <c r="M22" s="333">
        <v>1390</v>
      </c>
      <c r="N22" s="333">
        <v>1448</v>
      </c>
      <c r="O22" s="334">
        <v>1212.66886</v>
      </c>
    </row>
    <row r="23" spans="1:15" ht="25.4" customHeight="1">
      <c r="A23" s="416" t="s">
        <v>489</v>
      </c>
      <c r="B23" s="328">
        <v>3</v>
      </c>
      <c r="C23" s="329">
        <v>127</v>
      </c>
      <c r="D23" s="330">
        <v>712000</v>
      </c>
      <c r="E23" s="372" t="s">
        <v>996</v>
      </c>
      <c r="F23" s="373">
        <f t="shared" si="0"/>
        <v>0</v>
      </c>
      <c r="G23" s="374">
        <v>0</v>
      </c>
      <c r="H23" s="375">
        <v>0</v>
      </c>
      <c r="I23" s="327">
        <v>0</v>
      </c>
      <c r="J23" s="331" t="s">
        <v>669</v>
      </c>
      <c r="K23" s="332">
        <v>5</v>
      </c>
      <c r="L23" s="333">
        <v>3</v>
      </c>
      <c r="M23" s="333">
        <v>5</v>
      </c>
      <c r="N23" s="333">
        <v>5</v>
      </c>
      <c r="O23" s="334">
        <v>2.74411</v>
      </c>
    </row>
    <row r="24" spans="1:15" ht="25.4" customHeight="1">
      <c r="A24" s="416" t="s">
        <v>2099</v>
      </c>
      <c r="B24" s="328">
        <v>9</v>
      </c>
      <c r="C24" s="329">
        <v>100</v>
      </c>
      <c r="D24" s="330">
        <v>713000</v>
      </c>
      <c r="E24" s="372" t="s">
        <v>1058</v>
      </c>
      <c r="F24" s="373">
        <f t="shared" si="0"/>
        <v>7</v>
      </c>
      <c r="G24" s="374">
        <v>0</v>
      </c>
      <c r="H24" s="375">
        <v>7</v>
      </c>
      <c r="I24" s="327">
        <v>6.4333333333333336</v>
      </c>
      <c r="J24" s="331" t="s">
        <v>669</v>
      </c>
      <c r="K24" s="332">
        <v>1350</v>
      </c>
      <c r="L24" s="333">
        <v>1240</v>
      </c>
      <c r="M24" s="333">
        <v>1428</v>
      </c>
      <c r="N24" s="333">
        <v>1555</v>
      </c>
      <c r="O24" s="334">
        <v>1322.1185</v>
      </c>
    </row>
    <row r="25" spans="1:15" ht="25.4" customHeight="1">
      <c r="A25" s="416" t="s">
        <v>254</v>
      </c>
      <c r="B25" s="328">
        <v>3</v>
      </c>
      <c r="C25" s="329">
        <v>100</v>
      </c>
      <c r="D25" s="330">
        <v>714000</v>
      </c>
      <c r="E25" s="378" t="s">
        <v>1058</v>
      </c>
      <c r="F25" s="373">
        <f t="shared" si="0"/>
        <v>9.5</v>
      </c>
      <c r="G25" s="374">
        <v>0</v>
      </c>
      <c r="H25" s="375">
        <v>9.5</v>
      </c>
      <c r="I25" s="327">
        <v>9.5</v>
      </c>
      <c r="J25" s="331" t="s">
        <v>669</v>
      </c>
      <c r="K25" s="332">
        <v>2796</v>
      </c>
      <c r="L25" s="333">
        <v>2733</v>
      </c>
      <c r="M25" s="333">
        <v>2859</v>
      </c>
      <c r="N25" s="333">
        <v>2917</v>
      </c>
      <c r="O25" s="334">
        <v>2731.16194</v>
      </c>
    </row>
    <row r="26" spans="1:15" ht="25.4" customHeight="1">
      <c r="A26" s="416" t="s">
        <v>1143</v>
      </c>
      <c r="B26" s="328">
        <v>9</v>
      </c>
      <c r="C26" s="329">
        <v>100</v>
      </c>
      <c r="D26" s="330">
        <v>721000</v>
      </c>
      <c r="E26" s="372" t="s">
        <v>1058</v>
      </c>
      <c r="F26" s="373">
        <f t="shared" si="0"/>
        <v>5</v>
      </c>
      <c r="G26" s="374">
        <v>0</v>
      </c>
      <c r="H26" s="375">
        <v>5</v>
      </c>
      <c r="I26" s="327">
        <v>4</v>
      </c>
      <c r="J26" s="331" t="s">
        <v>669</v>
      </c>
      <c r="K26" s="332">
        <v>1040</v>
      </c>
      <c r="L26" s="333">
        <v>800</v>
      </c>
      <c r="M26" s="333">
        <v>865</v>
      </c>
      <c r="N26" s="333">
        <v>882</v>
      </c>
      <c r="O26" s="334">
        <v>748.02078000000006</v>
      </c>
    </row>
    <row r="27" spans="1:15" ht="25.4" customHeight="1">
      <c r="A27" s="416" t="s">
        <v>1143</v>
      </c>
      <c r="B27" s="328">
        <v>9</v>
      </c>
      <c r="C27" s="329">
        <v>101</v>
      </c>
      <c r="D27" s="330">
        <v>721000</v>
      </c>
      <c r="E27" s="372" t="s">
        <v>1536</v>
      </c>
      <c r="F27" s="373">
        <f t="shared" si="0"/>
        <v>3</v>
      </c>
      <c r="G27" s="374">
        <v>0</v>
      </c>
      <c r="H27" s="375">
        <v>3</v>
      </c>
      <c r="I27" s="327">
        <v>3</v>
      </c>
      <c r="J27" s="331" t="s">
        <v>669</v>
      </c>
      <c r="K27" s="332">
        <v>772</v>
      </c>
      <c r="L27" s="333">
        <v>755</v>
      </c>
      <c r="M27" s="333">
        <v>799</v>
      </c>
      <c r="N27" s="333">
        <v>815</v>
      </c>
      <c r="O27" s="334">
        <v>731.67547999999999</v>
      </c>
    </row>
    <row r="28" spans="1:15" ht="25.4" customHeight="1">
      <c r="A28" s="416" t="s">
        <v>1406</v>
      </c>
      <c r="B28" s="328">
        <v>9</v>
      </c>
      <c r="C28" s="329">
        <v>101</v>
      </c>
      <c r="D28" s="330">
        <v>722700</v>
      </c>
      <c r="E28" s="372" t="s">
        <v>1407</v>
      </c>
      <c r="F28" s="373">
        <f t="shared" si="0"/>
        <v>22</v>
      </c>
      <c r="G28" s="374">
        <v>0</v>
      </c>
      <c r="H28" s="375">
        <v>22</v>
      </c>
      <c r="I28" s="327">
        <v>21.64063333333333</v>
      </c>
      <c r="J28" s="331" t="s">
        <v>669</v>
      </c>
      <c r="K28" s="332">
        <v>4600</v>
      </c>
      <c r="L28" s="333">
        <v>3920</v>
      </c>
      <c r="M28" s="333">
        <v>4326</v>
      </c>
      <c r="N28" s="333">
        <v>4414</v>
      </c>
      <c r="O28" s="334">
        <v>3605.2989300000004</v>
      </c>
    </row>
    <row r="29" spans="1:15" ht="25.4" customHeight="1">
      <c r="A29" s="416" t="s">
        <v>1406</v>
      </c>
      <c r="B29" s="328">
        <v>9</v>
      </c>
      <c r="C29" s="329">
        <v>127</v>
      </c>
      <c r="D29" s="330">
        <v>722700</v>
      </c>
      <c r="E29" s="379" t="s">
        <v>1653</v>
      </c>
      <c r="F29" s="373">
        <f t="shared" si="0"/>
        <v>0</v>
      </c>
      <c r="G29" s="374">
        <v>0</v>
      </c>
      <c r="H29" s="375">
        <v>0</v>
      </c>
      <c r="I29" s="327">
        <v>0</v>
      </c>
      <c r="J29" s="331" t="s">
        <v>669</v>
      </c>
      <c r="K29" s="332">
        <v>92</v>
      </c>
      <c r="L29" s="333">
        <v>80</v>
      </c>
      <c r="M29" s="333">
        <v>80</v>
      </c>
      <c r="N29" s="333">
        <v>80</v>
      </c>
      <c r="O29" s="334">
        <v>51.51276</v>
      </c>
    </row>
    <row r="30" spans="1:15" ht="25.4" customHeight="1">
      <c r="A30" s="417" t="s">
        <v>297</v>
      </c>
      <c r="B30" s="328">
        <v>9</v>
      </c>
      <c r="C30" s="329">
        <v>100</v>
      </c>
      <c r="D30" s="330">
        <v>723000</v>
      </c>
      <c r="E30" s="372" t="s">
        <v>1058</v>
      </c>
      <c r="F30" s="373">
        <f t="shared" si="0"/>
        <v>4.5</v>
      </c>
      <c r="G30" s="374">
        <v>0</v>
      </c>
      <c r="H30" s="375">
        <v>4.5</v>
      </c>
      <c r="I30" s="327">
        <v>4.47</v>
      </c>
      <c r="J30" s="331" t="s">
        <v>669</v>
      </c>
      <c r="K30" s="332">
        <v>707</v>
      </c>
      <c r="L30" s="333">
        <v>691</v>
      </c>
      <c r="M30" s="333">
        <v>727</v>
      </c>
      <c r="N30" s="333">
        <v>727</v>
      </c>
      <c r="O30" s="334">
        <v>688.49522999999999</v>
      </c>
    </row>
    <row r="31" spans="1:15" ht="25.4" customHeight="1">
      <c r="A31" s="417" t="s">
        <v>1035</v>
      </c>
      <c r="B31" s="328">
        <v>9</v>
      </c>
      <c r="C31" s="329">
        <v>100</v>
      </c>
      <c r="D31" s="330">
        <v>726000</v>
      </c>
      <c r="E31" s="372" t="s">
        <v>848</v>
      </c>
      <c r="F31" s="373">
        <f t="shared" si="0"/>
        <v>2</v>
      </c>
      <c r="G31" s="374">
        <v>0</v>
      </c>
      <c r="H31" s="375">
        <v>2</v>
      </c>
      <c r="I31" s="327">
        <v>1.6666666666666665</v>
      </c>
      <c r="J31" s="331" t="s">
        <v>669</v>
      </c>
      <c r="K31" s="332">
        <v>225</v>
      </c>
      <c r="L31" s="333">
        <v>290</v>
      </c>
      <c r="M31" s="333">
        <v>309</v>
      </c>
      <c r="N31" s="333">
        <v>179</v>
      </c>
      <c r="O31" s="334">
        <v>173.42026999999999</v>
      </c>
    </row>
    <row r="32" spans="1:15" ht="25.4" customHeight="1">
      <c r="A32" s="416" t="s">
        <v>2162</v>
      </c>
      <c r="B32" s="328">
        <v>7</v>
      </c>
      <c r="C32" s="329">
        <v>100</v>
      </c>
      <c r="D32" s="330">
        <v>729998</v>
      </c>
      <c r="E32" s="372" t="s">
        <v>2163</v>
      </c>
      <c r="F32" s="373">
        <f t="shared" si="0"/>
        <v>0</v>
      </c>
      <c r="G32" s="374">
        <v>0</v>
      </c>
      <c r="H32" s="375"/>
      <c r="I32" s="326"/>
      <c r="J32" s="331" t="s">
        <v>669</v>
      </c>
      <c r="K32" s="332">
        <v>0</v>
      </c>
      <c r="L32" s="333">
        <v>90</v>
      </c>
      <c r="M32" s="333">
        <v>90</v>
      </c>
      <c r="N32" s="333">
        <v>0</v>
      </c>
      <c r="O32" s="334">
        <v>0</v>
      </c>
    </row>
    <row r="33" spans="1:15" ht="25.4" customHeight="1">
      <c r="A33" s="416" t="s">
        <v>2162</v>
      </c>
      <c r="B33" s="328">
        <v>7</v>
      </c>
      <c r="C33" s="329">
        <v>101</v>
      </c>
      <c r="D33" s="330">
        <v>729998</v>
      </c>
      <c r="E33" s="372" t="s">
        <v>2164</v>
      </c>
      <c r="F33" s="373">
        <f t="shared" si="0"/>
        <v>0</v>
      </c>
      <c r="G33" s="374">
        <v>0</v>
      </c>
      <c r="H33" s="375"/>
      <c r="I33" s="326"/>
      <c r="J33" s="331" t="s">
        <v>669</v>
      </c>
      <c r="K33" s="332">
        <v>0</v>
      </c>
      <c r="L33" s="333">
        <v>46</v>
      </c>
      <c r="M33" s="333">
        <v>46</v>
      </c>
      <c r="N33" s="333">
        <v>0</v>
      </c>
      <c r="O33" s="334">
        <v>0</v>
      </c>
    </row>
    <row r="34" spans="1:15" ht="25.4" customHeight="1">
      <c r="A34" s="416" t="s">
        <v>2162</v>
      </c>
      <c r="B34" s="328">
        <v>7</v>
      </c>
      <c r="C34" s="329">
        <v>100</v>
      </c>
      <c r="D34" s="330">
        <v>729999</v>
      </c>
      <c r="E34" s="372" t="s">
        <v>2165</v>
      </c>
      <c r="F34" s="373">
        <f t="shared" si="0"/>
        <v>0</v>
      </c>
      <c r="G34" s="374">
        <v>0</v>
      </c>
      <c r="H34" s="375"/>
      <c r="I34" s="326"/>
      <c r="J34" s="331" t="s">
        <v>669</v>
      </c>
      <c r="K34" s="332">
        <v>0</v>
      </c>
      <c r="L34" s="333">
        <v>20</v>
      </c>
      <c r="M34" s="333">
        <v>20</v>
      </c>
      <c r="N34" s="333">
        <v>0</v>
      </c>
      <c r="O34" s="334">
        <v>0</v>
      </c>
    </row>
    <row r="35" spans="1:15" ht="25.4" customHeight="1">
      <c r="A35" s="416" t="s">
        <v>1069</v>
      </c>
      <c r="B35" s="328">
        <v>4</v>
      </c>
      <c r="C35" s="329">
        <v>100</v>
      </c>
      <c r="D35" s="330">
        <v>731000</v>
      </c>
      <c r="E35" s="372" t="s">
        <v>1058</v>
      </c>
      <c r="F35" s="373">
        <f t="shared" si="0"/>
        <v>11</v>
      </c>
      <c r="G35" s="374">
        <v>0</v>
      </c>
      <c r="H35" s="375">
        <v>11</v>
      </c>
      <c r="I35" s="327">
        <v>11.196233333333332</v>
      </c>
      <c r="J35" s="331" t="s">
        <v>669</v>
      </c>
      <c r="K35" s="332">
        <v>2660</v>
      </c>
      <c r="L35" s="333">
        <v>2600</v>
      </c>
      <c r="M35" s="333">
        <v>2561</v>
      </c>
      <c r="N35" s="333">
        <v>2740</v>
      </c>
      <c r="O35" s="334">
        <v>2061.2213200000001</v>
      </c>
    </row>
    <row r="36" spans="1:15" ht="25.4" customHeight="1">
      <c r="A36" s="416" t="s">
        <v>853</v>
      </c>
      <c r="B36" s="328">
        <v>4</v>
      </c>
      <c r="C36" s="329">
        <v>100</v>
      </c>
      <c r="D36" s="330">
        <v>732000</v>
      </c>
      <c r="E36" s="372" t="s">
        <v>993</v>
      </c>
      <c r="F36" s="373">
        <f t="shared" si="0"/>
        <v>10</v>
      </c>
      <c r="G36" s="374">
        <v>0</v>
      </c>
      <c r="H36" s="375">
        <v>10</v>
      </c>
      <c r="I36" s="327">
        <v>9.4357666666666677</v>
      </c>
      <c r="J36" s="331" t="s">
        <v>669</v>
      </c>
      <c r="K36" s="332">
        <v>2325</v>
      </c>
      <c r="L36" s="333">
        <v>2185</v>
      </c>
      <c r="M36" s="333">
        <v>2191</v>
      </c>
      <c r="N36" s="333">
        <v>2235</v>
      </c>
      <c r="O36" s="334">
        <v>2497.7598900000003</v>
      </c>
    </row>
    <row r="37" spans="1:15" ht="25.4" customHeight="1">
      <c r="A37" s="416" t="s">
        <v>854</v>
      </c>
      <c r="B37" s="328">
        <v>4</v>
      </c>
      <c r="C37" s="329">
        <v>101</v>
      </c>
      <c r="D37" s="330">
        <v>732000</v>
      </c>
      <c r="E37" s="372" t="s">
        <v>540</v>
      </c>
      <c r="F37" s="373">
        <f t="shared" si="0"/>
        <v>4</v>
      </c>
      <c r="G37" s="374">
        <v>0</v>
      </c>
      <c r="H37" s="375">
        <v>4</v>
      </c>
      <c r="I37" s="327">
        <v>3.833333333333333</v>
      </c>
      <c r="J37" s="331" t="s">
        <v>669</v>
      </c>
      <c r="K37" s="332">
        <v>745</v>
      </c>
      <c r="L37" s="333">
        <v>700</v>
      </c>
      <c r="M37" s="333">
        <v>789</v>
      </c>
      <c r="N37" s="333">
        <v>805</v>
      </c>
      <c r="O37" s="334">
        <v>712.39499000000001</v>
      </c>
    </row>
    <row r="38" spans="1:15" ht="25.4" customHeight="1">
      <c r="A38" s="416" t="s">
        <v>1359</v>
      </c>
      <c r="B38" s="328">
        <v>4</v>
      </c>
      <c r="C38" s="329">
        <v>100</v>
      </c>
      <c r="D38" s="330">
        <v>732200</v>
      </c>
      <c r="E38" s="380" t="s">
        <v>848</v>
      </c>
      <c r="F38" s="373">
        <f t="shared" si="0"/>
        <v>6</v>
      </c>
      <c r="G38" s="374">
        <v>0</v>
      </c>
      <c r="H38" s="375">
        <v>6</v>
      </c>
      <c r="I38" s="326">
        <v>5</v>
      </c>
      <c r="J38" s="331" t="s">
        <v>669</v>
      </c>
      <c r="K38" s="332">
        <v>1300</v>
      </c>
      <c r="L38" s="333">
        <v>1120</v>
      </c>
      <c r="M38" s="333">
        <v>1274</v>
      </c>
      <c r="N38" s="333">
        <v>1300</v>
      </c>
      <c r="O38" s="334">
        <v>893.01108999999997</v>
      </c>
    </row>
    <row r="39" spans="1:15" ht="25.4" customHeight="1">
      <c r="A39" s="416" t="s">
        <v>394</v>
      </c>
      <c r="B39" s="328">
        <v>4</v>
      </c>
      <c r="C39" s="329">
        <v>100</v>
      </c>
      <c r="D39" s="330">
        <v>733100</v>
      </c>
      <c r="E39" s="372" t="s">
        <v>1058</v>
      </c>
      <c r="F39" s="373">
        <f t="shared" si="0"/>
        <v>26.8</v>
      </c>
      <c r="G39" s="374">
        <v>0</v>
      </c>
      <c r="H39" s="375">
        <v>26.8</v>
      </c>
      <c r="I39" s="327">
        <v>22.291816666666662</v>
      </c>
      <c r="J39" s="331" t="s">
        <v>669</v>
      </c>
      <c r="K39" s="332">
        <v>5150</v>
      </c>
      <c r="L39" s="333">
        <v>4700</v>
      </c>
      <c r="M39" s="333">
        <v>5204</v>
      </c>
      <c r="N39" s="333">
        <v>5310</v>
      </c>
      <c r="O39" s="334">
        <v>3960.6258900000003</v>
      </c>
    </row>
    <row r="40" spans="1:15" ht="25.4" customHeight="1">
      <c r="A40" s="416" t="s">
        <v>397</v>
      </c>
      <c r="B40" s="328">
        <v>4</v>
      </c>
      <c r="C40" s="329">
        <v>100</v>
      </c>
      <c r="D40" s="330">
        <v>733200</v>
      </c>
      <c r="E40" s="372" t="s">
        <v>1058</v>
      </c>
      <c r="F40" s="373">
        <f t="shared" si="0"/>
        <v>10</v>
      </c>
      <c r="G40" s="374">
        <v>0</v>
      </c>
      <c r="H40" s="375">
        <v>10</v>
      </c>
      <c r="I40" s="327">
        <v>8.973116666666666</v>
      </c>
      <c r="J40" s="331" t="s">
        <v>669</v>
      </c>
      <c r="K40" s="332">
        <v>2340</v>
      </c>
      <c r="L40" s="333">
        <v>2200</v>
      </c>
      <c r="M40" s="333">
        <v>2357</v>
      </c>
      <c r="N40" s="333">
        <v>2405</v>
      </c>
      <c r="O40" s="334">
        <v>1859.53792</v>
      </c>
    </row>
    <row r="41" spans="1:15" ht="25.4" customHeight="1">
      <c r="A41" s="416" t="s">
        <v>1206</v>
      </c>
      <c r="B41" s="328">
        <v>4</v>
      </c>
      <c r="C41" s="329">
        <v>100</v>
      </c>
      <c r="D41" s="330">
        <v>734000</v>
      </c>
      <c r="E41" s="372" t="s">
        <v>848</v>
      </c>
      <c r="F41" s="373">
        <f t="shared" si="0"/>
        <v>4.7</v>
      </c>
      <c r="G41" s="374">
        <v>0</v>
      </c>
      <c r="H41" s="375">
        <v>4.7</v>
      </c>
      <c r="I41" s="327">
        <v>1.8666666666666665</v>
      </c>
      <c r="J41" s="331" t="s">
        <v>669</v>
      </c>
      <c r="K41" s="332">
        <v>755</v>
      </c>
      <c r="L41" s="333">
        <v>610</v>
      </c>
      <c r="M41" s="333">
        <v>936</v>
      </c>
      <c r="N41" s="333">
        <v>955</v>
      </c>
      <c r="O41" s="334">
        <v>527.82525999999996</v>
      </c>
    </row>
    <row r="42" spans="1:15" ht="25.4" customHeight="1">
      <c r="A42" s="416" t="s">
        <v>219</v>
      </c>
      <c r="B42" s="328">
        <v>4</v>
      </c>
      <c r="C42" s="329">
        <v>100</v>
      </c>
      <c r="D42" s="330">
        <v>742000</v>
      </c>
      <c r="E42" s="372" t="s">
        <v>848</v>
      </c>
      <c r="F42" s="373">
        <f t="shared" si="0"/>
        <v>6</v>
      </c>
      <c r="G42" s="374">
        <v>0</v>
      </c>
      <c r="H42" s="375">
        <v>6</v>
      </c>
      <c r="I42" s="327">
        <v>5.78735</v>
      </c>
      <c r="J42" s="331" t="s">
        <v>669</v>
      </c>
      <c r="K42" s="332">
        <v>1330</v>
      </c>
      <c r="L42" s="333">
        <v>1300</v>
      </c>
      <c r="M42" s="333">
        <v>1300</v>
      </c>
      <c r="N42" s="333">
        <v>1300</v>
      </c>
      <c r="O42" s="334">
        <v>970.13065000000006</v>
      </c>
    </row>
    <row r="43" spans="1:15" ht="25.4" customHeight="1">
      <c r="A43" s="416" t="s">
        <v>219</v>
      </c>
      <c r="B43" s="328">
        <v>5</v>
      </c>
      <c r="C43" s="329">
        <v>102</v>
      </c>
      <c r="D43" s="330">
        <v>742000</v>
      </c>
      <c r="E43" s="372" t="s">
        <v>211</v>
      </c>
      <c r="F43" s="373">
        <f t="shared" si="0"/>
        <v>10.5</v>
      </c>
      <c r="G43" s="374">
        <v>0</v>
      </c>
      <c r="H43" s="375">
        <v>10.5</v>
      </c>
      <c r="I43" s="327">
        <v>9.4137833333333347</v>
      </c>
      <c r="J43" s="331" t="s">
        <v>669</v>
      </c>
      <c r="K43" s="332">
        <v>1853</v>
      </c>
      <c r="L43" s="333">
        <v>1700</v>
      </c>
      <c r="M43" s="333">
        <v>1793</v>
      </c>
      <c r="N43" s="333">
        <v>1829</v>
      </c>
      <c r="O43" s="334">
        <v>1553.1470400000001</v>
      </c>
    </row>
    <row r="44" spans="1:15" ht="25.4" customHeight="1">
      <c r="A44" s="416" t="s">
        <v>222</v>
      </c>
      <c r="B44" s="381">
        <v>5</v>
      </c>
      <c r="C44" s="382">
        <v>100</v>
      </c>
      <c r="D44" s="383">
        <v>743000</v>
      </c>
      <c r="E44" s="372" t="s">
        <v>1058</v>
      </c>
      <c r="F44" s="373">
        <f t="shared" si="0"/>
        <v>11</v>
      </c>
      <c r="G44" s="374">
        <v>0</v>
      </c>
      <c r="H44" s="384">
        <v>11</v>
      </c>
      <c r="I44" s="385">
        <v>10</v>
      </c>
      <c r="J44" s="386" t="s">
        <v>669</v>
      </c>
      <c r="K44" s="387">
        <v>1830</v>
      </c>
      <c r="L44" s="388">
        <v>1700</v>
      </c>
      <c r="M44" s="388">
        <v>1816</v>
      </c>
      <c r="N44" s="388">
        <v>1853</v>
      </c>
      <c r="O44" s="389">
        <v>1506.59319</v>
      </c>
    </row>
    <row r="45" spans="1:15" ht="25.4" customHeight="1">
      <c r="A45" s="416" t="s">
        <v>1038</v>
      </c>
      <c r="B45" s="328">
        <v>4</v>
      </c>
      <c r="C45" s="329">
        <v>100</v>
      </c>
      <c r="D45" s="330">
        <v>744000</v>
      </c>
      <c r="E45" s="376" t="s">
        <v>2067</v>
      </c>
      <c r="F45" s="373">
        <f t="shared" si="0"/>
        <v>5</v>
      </c>
      <c r="G45" s="374">
        <v>0</v>
      </c>
      <c r="H45" s="375">
        <v>5</v>
      </c>
      <c r="I45" s="327">
        <v>3.0944500000000001</v>
      </c>
      <c r="J45" s="331" t="s">
        <v>669</v>
      </c>
      <c r="K45" s="332">
        <v>695</v>
      </c>
      <c r="L45" s="333">
        <v>570</v>
      </c>
      <c r="M45" s="333">
        <v>833</v>
      </c>
      <c r="N45" s="333">
        <v>850</v>
      </c>
      <c r="O45" s="334">
        <v>68.791470000000004</v>
      </c>
    </row>
    <row r="46" spans="1:15" ht="25.4" customHeight="1">
      <c r="A46" s="416" t="s">
        <v>846</v>
      </c>
      <c r="B46" s="328">
        <v>3</v>
      </c>
      <c r="C46" s="329">
        <v>100</v>
      </c>
      <c r="D46" s="330">
        <v>746000</v>
      </c>
      <c r="E46" s="376" t="s">
        <v>848</v>
      </c>
      <c r="F46" s="373">
        <f t="shared" si="0"/>
        <v>8</v>
      </c>
      <c r="G46" s="374">
        <v>0</v>
      </c>
      <c r="H46" s="375">
        <v>8</v>
      </c>
      <c r="I46" s="327">
        <v>8</v>
      </c>
      <c r="J46" s="331" t="s">
        <v>669</v>
      </c>
      <c r="K46" s="332">
        <v>1557</v>
      </c>
      <c r="L46" s="333">
        <v>1522</v>
      </c>
      <c r="M46" s="333">
        <v>1579</v>
      </c>
      <c r="N46" s="333">
        <v>1580</v>
      </c>
      <c r="O46" s="334">
        <v>1382.12959</v>
      </c>
    </row>
    <row r="47" spans="1:15" ht="25.4" customHeight="1">
      <c r="A47" s="416" t="s">
        <v>846</v>
      </c>
      <c r="B47" s="328">
        <v>3</v>
      </c>
      <c r="C47" s="329">
        <v>127</v>
      </c>
      <c r="D47" s="330">
        <v>746000</v>
      </c>
      <c r="E47" s="372" t="s">
        <v>1121</v>
      </c>
      <c r="F47" s="373">
        <f t="shared" si="0"/>
        <v>0</v>
      </c>
      <c r="G47" s="374">
        <v>0</v>
      </c>
      <c r="H47" s="375"/>
      <c r="I47" s="326"/>
      <c r="J47" s="331" t="s">
        <v>669</v>
      </c>
      <c r="K47" s="332">
        <v>5</v>
      </c>
      <c r="L47" s="333">
        <v>4</v>
      </c>
      <c r="M47" s="333">
        <v>5</v>
      </c>
      <c r="N47" s="333">
        <v>5</v>
      </c>
      <c r="O47" s="334">
        <v>3.79956</v>
      </c>
    </row>
    <row r="48" spans="1:15" ht="25.4" customHeight="1">
      <c r="A48" s="416" t="s">
        <v>907</v>
      </c>
      <c r="B48" s="328">
        <v>5</v>
      </c>
      <c r="C48" s="329">
        <v>100</v>
      </c>
      <c r="D48" s="330">
        <v>746100</v>
      </c>
      <c r="E48" s="372" t="s">
        <v>848</v>
      </c>
      <c r="F48" s="373">
        <f t="shared" si="0"/>
        <v>6.5</v>
      </c>
      <c r="G48" s="374">
        <v>0</v>
      </c>
      <c r="H48" s="375">
        <v>6.5</v>
      </c>
      <c r="I48" s="326">
        <v>6.5</v>
      </c>
      <c r="J48" s="331" t="s">
        <v>669</v>
      </c>
      <c r="K48" s="332">
        <v>1300</v>
      </c>
      <c r="L48" s="333">
        <v>1200</v>
      </c>
      <c r="M48" s="333">
        <v>1387</v>
      </c>
      <c r="N48" s="333">
        <v>1415</v>
      </c>
      <c r="O48" s="334">
        <v>1142.2374199999999</v>
      </c>
    </row>
    <row r="49" spans="1:15" ht="25.4" customHeight="1">
      <c r="A49" s="416" t="s">
        <v>907</v>
      </c>
      <c r="B49" s="328">
        <v>5</v>
      </c>
      <c r="C49" s="329">
        <v>101</v>
      </c>
      <c r="D49" s="330">
        <v>746100</v>
      </c>
      <c r="E49" s="372" t="s">
        <v>726</v>
      </c>
      <c r="F49" s="373">
        <f t="shared" si="0"/>
        <v>2</v>
      </c>
      <c r="G49" s="374">
        <v>0</v>
      </c>
      <c r="H49" s="375">
        <v>2</v>
      </c>
      <c r="I49" s="326">
        <v>2</v>
      </c>
      <c r="J49" s="331" t="s">
        <v>669</v>
      </c>
      <c r="K49" s="332">
        <v>420</v>
      </c>
      <c r="L49" s="333">
        <v>410</v>
      </c>
      <c r="M49" s="333">
        <v>428</v>
      </c>
      <c r="N49" s="333">
        <v>428</v>
      </c>
      <c r="O49" s="334">
        <v>395.13466999999997</v>
      </c>
    </row>
    <row r="50" spans="1:15" ht="25.4" customHeight="1">
      <c r="A50" s="416" t="s">
        <v>885</v>
      </c>
      <c r="B50" s="328">
        <v>6</v>
      </c>
      <c r="C50" s="329">
        <v>101</v>
      </c>
      <c r="D50" s="330">
        <v>747200</v>
      </c>
      <c r="E50" s="372" t="s">
        <v>623</v>
      </c>
      <c r="F50" s="373">
        <f t="shared" si="0"/>
        <v>6.7</v>
      </c>
      <c r="G50" s="374">
        <v>0</v>
      </c>
      <c r="H50" s="375">
        <v>6.7</v>
      </c>
      <c r="I50" s="326">
        <v>7.7060000000000004</v>
      </c>
      <c r="J50" s="331" t="s">
        <v>669</v>
      </c>
      <c r="K50" s="332">
        <v>1600</v>
      </c>
      <c r="L50" s="333">
        <v>1565</v>
      </c>
      <c r="M50" s="333">
        <v>1730</v>
      </c>
      <c r="N50" s="333">
        <v>1765</v>
      </c>
      <c r="O50" s="334">
        <v>1560.846</v>
      </c>
    </row>
    <row r="51" spans="1:15" ht="25.4" customHeight="1">
      <c r="A51" s="416" t="s">
        <v>885</v>
      </c>
      <c r="B51" s="328">
        <v>6</v>
      </c>
      <c r="C51" s="329">
        <v>102</v>
      </c>
      <c r="D51" s="330">
        <v>747200</v>
      </c>
      <c r="E51" s="372" t="s">
        <v>306</v>
      </c>
      <c r="F51" s="373">
        <f t="shared" si="0"/>
        <v>29</v>
      </c>
      <c r="G51" s="374">
        <v>0</v>
      </c>
      <c r="H51" s="375">
        <v>29</v>
      </c>
      <c r="I51" s="326">
        <v>25.403799999999997</v>
      </c>
      <c r="J51" s="331" t="s">
        <v>669</v>
      </c>
      <c r="K51" s="332">
        <v>11860</v>
      </c>
      <c r="L51" s="333">
        <v>11593</v>
      </c>
      <c r="M51" s="333">
        <v>12603</v>
      </c>
      <c r="N51" s="333">
        <v>12860</v>
      </c>
      <c r="O51" s="334">
        <v>11676.801240000001</v>
      </c>
    </row>
    <row r="52" spans="1:15" ht="25.4" customHeight="1">
      <c r="A52" s="416" t="s">
        <v>885</v>
      </c>
      <c r="B52" s="328">
        <v>6</v>
      </c>
      <c r="C52" s="329">
        <v>127</v>
      </c>
      <c r="D52" s="330">
        <v>747200</v>
      </c>
      <c r="E52" s="380" t="s">
        <v>2379</v>
      </c>
      <c r="F52" s="373">
        <f t="shared" si="0"/>
        <v>0</v>
      </c>
      <c r="G52" s="374">
        <v>0</v>
      </c>
      <c r="H52" s="375"/>
      <c r="I52" s="326"/>
      <c r="J52" s="331" t="s">
        <v>669</v>
      </c>
      <c r="K52" s="332">
        <v>180</v>
      </c>
      <c r="L52" s="333">
        <v>147</v>
      </c>
      <c r="M52" s="333">
        <v>147</v>
      </c>
      <c r="N52" s="333">
        <v>262</v>
      </c>
      <c r="O52" s="334">
        <v>238.1028</v>
      </c>
    </row>
    <row r="53" spans="1:15" ht="25.4" customHeight="1">
      <c r="A53" s="416" t="s">
        <v>243</v>
      </c>
      <c r="B53" s="328">
        <v>1</v>
      </c>
      <c r="C53" s="329">
        <v>100</v>
      </c>
      <c r="D53" s="330">
        <v>754000</v>
      </c>
      <c r="E53" s="372" t="s">
        <v>244</v>
      </c>
      <c r="F53" s="373">
        <f t="shared" si="0"/>
        <v>0</v>
      </c>
      <c r="G53" s="374">
        <v>0</v>
      </c>
      <c r="H53" s="390">
        <v>0</v>
      </c>
      <c r="I53" s="326">
        <v>0</v>
      </c>
      <c r="J53" s="331" t="s">
        <v>669</v>
      </c>
      <c r="K53" s="332">
        <v>0</v>
      </c>
      <c r="L53" s="333">
        <v>0</v>
      </c>
      <c r="M53" s="333">
        <v>0</v>
      </c>
      <c r="N53" s="333">
        <v>0</v>
      </c>
      <c r="O53" s="334">
        <v>13.964879999999999</v>
      </c>
    </row>
    <row r="54" spans="1:15" ht="25.4" customHeight="1">
      <c r="A54" s="416" t="s">
        <v>356</v>
      </c>
      <c r="B54" s="328">
        <v>1</v>
      </c>
      <c r="C54" s="329">
        <v>100</v>
      </c>
      <c r="D54" s="330">
        <v>761000</v>
      </c>
      <c r="E54" s="372" t="s">
        <v>922</v>
      </c>
      <c r="F54" s="373">
        <f t="shared" si="0"/>
        <v>12</v>
      </c>
      <c r="G54" s="374">
        <v>0</v>
      </c>
      <c r="H54" s="390">
        <v>12</v>
      </c>
      <c r="I54" s="391">
        <v>13.040016666666668</v>
      </c>
      <c r="J54" s="331" t="s">
        <v>669</v>
      </c>
      <c r="K54" s="332">
        <v>2400</v>
      </c>
      <c r="L54" s="333">
        <v>2210</v>
      </c>
      <c r="M54" s="333">
        <v>2247</v>
      </c>
      <c r="N54" s="333">
        <v>2157</v>
      </c>
      <c r="O54" s="334">
        <v>2053.7486599999997</v>
      </c>
    </row>
    <row r="55" spans="1:15" ht="25.4" customHeight="1">
      <c r="A55" s="416" t="s">
        <v>356</v>
      </c>
      <c r="B55" s="328">
        <v>1</v>
      </c>
      <c r="C55" s="329">
        <v>101</v>
      </c>
      <c r="D55" s="330">
        <v>761000</v>
      </c>
      <c r="E55" s="372" t="s">
        <v>2069</v>
      </c>
      <c r="F55" s="373">
        <f t="shared" si="0"/>
        <v>8</v>
      </c>
      <c r="G55" s="374">
        <v>0</v>
      </c>
      <c r="H55" s="375">
        <v>8</v>
      </c>
      <c r="I55" s="327">
        <v>10.015000000000001</v>
      </c>
      <c r="J55" s="331" t="s">
        <v>669</v>
      </c>
      <c r="K55" s="332">
        <v>1500</v>
      </c>
      <c r="L55" s="333">
        <v>1420</v>
      </c>
      <c r="M55" s="333">
        <v>1420</v>
      </c>
      <c r="N55" s="333">
        <v>1420</v>
      </c>
      <c r="O55" s="334">
        <v>1276.06087</v>
      </c>
    </row>
    <row r="56" spans="1:15" ht="25.4" customHeight="1">
      <c r="A56" s="416" t="s">
        <v>2100</v>
      </c>
      <c r="B56" s="328">
        <v>3</v>
      </c>
      <c r="C56" s="329">
        <v>100</v>
      </c>
      <c r="D56" s="330">
        <v>764000</v>
      </c>
      <c r="E56" s="372" t="s">
        <v>848</v>
      </c>
      <c r="F56" s="373">
        <f t="shared" si="0"/>
        <v>3.5</v>
      </c>
      <c r="G56" s="374">
        <v>0</v>
      </c>
      <c r="H56" s="375">
        <v>3.5</v>
      </c>
      <c r="I56" s="327">
        <v>3.166666666666667</v>
      </c>
      <c r="J56" s="331" t="s">
        <v>669</v>
      </c>
      <c r="K56" s="332">
        <v>620</v>
      </c>
      <c r="L56" s="333">
        <v>606</v>
      </c>
      <c r="M56" s="333">
        <v>623</v>
      </c>
      <c r="N56" s="333">
        <v>635</v>
      </c>
      <c r="O56" s="334">
        <v>483.15219999999999</v>
      </c>
    </row>
    <row r="57" spans="1:15" ht="25.4" customHeight="1">
      <c r="A57" s="416" t="s">
        <v>2100</v>
      </c>
      <c r="B57" s="328">
        <v>3</v>
      </c>
      <c r="C57" s="329">
        <v>101</v>
      </c>
      <c r="D57" s="330">
        <v>764000</v>
      </c>
      <c r="E57" s="372" t="s">
        <v>2085</v>
      </c>
      <c r="F57" s="373">
        <f t="shared" si="0"/>
        <v>3</v>
      </c>
      <c r="G57" s="374">
        <v>0</v>
      </c>
      <c r="H57" s="375">
        <v>3</v>
      </c>
      <c r="I57" s="327">
        <v>0.5</v>
      </c>
      <c r="J57" s="331" t="s">
        <v>669</v>
      </c>
      <c r="K57" s="332">
        <v>510</v>
      </c>
      <c r="L57" s="333">
        <v>289</v>
      </c>
      <c r="M57" s="333">
        <v>332</v>
      </c>
      <c r="N57" s="333">
        <v>0</v>
      </c>
      <c r="O57" s="334">
        <v>0</v>
      </c>
    </row>
    <row r="58" spans="1:15" ht="25.4" customHeight="1">
      <c r="A58" s="416" t="s">
        <v>719</v>
      </c>
      <c r="B58" s="328">
        <v>1</v>
      </c>
      <c r="C58" s="329">
        <v>100</v>
      </c>
      <c r="D58" s="330">
        <v>766000</v>
      </c>
      <c r="E58" s="372" t="s">
        <v>1058</v>
      </c>
      <c r="F58" s="373">
        <f t="shared" si="0"/>
        <v>2</v>
      </c>
      <c r="G58" s="374">
        <v>0</v>
      </c>
      <c r="H58" s="375">
        <v>2</v>
      </c>
      <c r="I58" s="327">
        <v>2</v>
      </c>
      <c r="J58" s="331" t="s">
        <v>669</v>
      </c>
      <c r="K58" s="332">
        <v>320</v>
      </c>
      <c r="L58" s="333">
        <v>310</v>
      </c>
      <c r="M58" s="333">
        <v>339</v>
      </c>
      <c r="N58" s="333">
        <v>189</v>
      </c>
      <c r="O58" s="334">
        <v>275.11563000000001</v>
      </c>
    </row>
    <row r="59" spans="1:15" ht="25.4" customHeight="1">
      <c r="A59" s="416" t="s">
        <v>857</v>
      </c>
      <c r="B59" s="328">
        <v>1</v>
      </c>
      <c r="C59" s="329">
        <v>100</v>
      </c>
      <c r="D59" s="330">
        <v>769100</v>
      </c>
      <c r="E59" s="376" t="s">
        <v>1058</v>
      </c>
      <c r="F59" s="373">
        <f t="shared" si="0"/>
        <v>2</v>
      </c>
      <c r="G59" s="374">
        <v>0</v>
      </c>
      <c r="H59" s="375">
        <v>2</v>
      </c>
      <c r="I59" s="327">
        <v>2.0344833333333336</v>
      </c>
      <c r="J59" s="331" t="s">
        <v>669</v>
      </c>
      <c r="K59" s="332">
        <v>440</v>
      </c>
      <c r="L59" s="333">
        <v>400</v>
      </c>
      <c r="M59" s="333">
        <v>440</v>
      </c>
      <c r="N59" s="333">
        <v>448</v>
      </c>
      <c r="O59" s="334">
        <v>417.74925000000002</v>
      </c>
    </row>
    <row r="60" spans="1:15" ht="25.4" customHeight="1">
      <c r="A60" s="416" t="s">
        <v>1273</v>
      </c>
      <c r="B60" s="328">
        <v>82</v>
      </c>
      <c r="C60" s="329">
        <v>100</v>
      </c>
      <c r="D60" s="330">
        <v>769200</v>
      </c>
      <c r="E60" s="376" t="s">
        <v>1058</v>
      </c>
      <c r="F60" s="373">
        <f t="shared" si="0"/>
        <v>2</v>
      </c>
      <c r="G60" s="374">
        <v>0</v>
      </c>
      <c r="H60" s="375">
        <v>2</v>
      </c>
      <c r="I60" s="327">
        <v>2</v>
      </c>
      <c r="J60" s="331" t="s">
        <v>669</v>
      </c>
      <c r="K60" s="332">
        <v>326</v>
      </c>
      <c r="L60" s="333">
        <v>319</v>
      </c>
      <c r="M60" s="333">
        <v>336</v>
      </c>
      <c r="N60" s="333">
        <v>336</v>
      </c>
      <c r="O60" s="334">
        <v>278.41465000000005</v>
      </c>
    </row>
    <row r="61" spans="1:15" ht="25.4" customHeight="1">
      <c r="A61" s="416" t="s">
        <v>715</v>
      </c>
      <c r="B61" s="328">
        <v>1</v>
      </c>
      <c r="C61" s="329">
        <v>100</v>
      </c>
      <c r="D61" s="330">
        <v>771000</v>
      </c>
      <c r="E61" s="372" t="s">
        <v>1058</v>
      </c>
      <c r="F61" s="373">
        <f t="shared" si="0"/>
        <v>0</v>
      </c>
      <c r="G61" s="374">
        <v>0</v>
      </c>
      <c r="H61" s="375">
        <v>0</v>
      </c>
      <c r="I61" s="327">
        <v>0</v>
      </c>
      <c r="J61" s="331" t="s">
        <v>669</v>
      </c>
      <c r="K61" s="332">
        <v>0</v>
      </c>
      <c r="L61" s="333">
        <v>0</v>
      </c>
      <c r="M61" s="333">
        <v>0</v>
      </c>
      <c r="N61" s="333">
        <v>0</v>
      </c>
      <c r="O61" s="334">
        <v>158.47748000000001</v>
      </c>
    </row>
    <row r="62" spans="1:15" ht="25.4" customHeight="1">
      <c r="A62" s="416" t="s">
        <v>550</v>
      </c>
      <c r="B62" s="328">
        <v>9</v>
      </c>
      <c r="C62" s="329">
        <v>102</v>
      </c>
      <c r="D62" s="330">
        <v>781000</v>
      </c>
      <c r="E62" s="372" t="s">
        <v>1316</v>
      </c>
      <c r="F62" s="373">
        <f t="shared" si="0"/>
        <v>37</v>
      </c>
      <c r="G62" s="374">
        <v>0</v>
      </c>
      <c r="H62" s="375">
        <v>37</v>
      </c>
      <c r="I62" s="327">
        <v>35.292116666666665</v>
      </c>
      <c r="J62" s="331" t="s">
        <v>669</v>
      </c>
      <c r="K62" s="332">
        <v>7244</v>
      </c>
      <c r="L62" s="333">
        <v>6649</v>
      </c>
      <c r="M62" s="333">
        <v>7404</v>
      </c>
      <c r="N62" s="333">
        <v>7862</v>
      </c>
      <c r="O62" s="334">
        <v>6061.8549499999999</v>
      </c>
    </row>
    <row r="63" spans="1:15" ht="25.4" customHeight="1">
      <c r="A63" s="416" t="s">
        <v>550</v>
      </c>
      <c r="B63" s="328">
        <v>9</v>
      </c>
      <c r="C63" s="329">
        <v>127</v>
      </c>
      <c r="D63" s="330">
        <v>781000</v>
      </c>
      <c r="E63" s="372" t="s">
        <v>863</v>
      </c>
      <c r="F63" s="373">
        <f t="shared" si="0"/>
        <v>0</v>
      </c>
      <c r="G63" s="374">
        <v>0</v>
      </c>
      <c r="H63" s="375"/>
      <c r="I63" s="327"/>
      <c r="J63" s="331" t="s">
        <v>669</v>
      </c>
      <c r="K63" s="332">
        <v>159</v>
      </c>
      <c r="L63" s="333">
        <v>159</v>
      </c>
      <c r="M63" s="333">
        <v>159</v>
      </c>
      <c r="N63" s="333">
        <v>159</v>
      </c>
      <c r="O63" s="334">
        <v>90.403009999999995</v>
      </c>
    </row>
    <row r="64" spans="1:15" ht="25.4" customHeight="1">
      <c r="A64" s="416" t="s">
        <v>11</v>
      </c>
      <c r="B64" s="328">
        <v>1</v>
      </c>
      <c r="C64" s="329">
        <v>100</v>
      </c>
      <c r="D64" s="330">
        <v>782000</v>
      </c>
      <c r="E64" s="372" t="s">
        <v>1058</v>
      </c>
      <c r="F64" s="373">
        <f t="shared" si="0"/>
        <v>2</v>
      </c>
      <c r="G64" s="374">
        <v>0</v>
      </c>
      <c r="H64" s="375">
        <v>2</v>
      </c>
      <c r="I64" s="327">
        <v>2</v>
      </c>
      <c r="J64" s="331" t="s">
        <v>669</v>
      </c>
      <c r="K64" s="332">
        <v>360</v>
      </c>
      <c r="L64" s="333">
        <v>340</v>
      </c>
      <c r="M64" s="333">
        <v>359</v>
      </c>
      <c r="N64" s="333">
        <v>359</v>
      </c>
      <c r="O64" s="334">
        <v>330.29851000000002</v>
      </c>
    </row>
    <row r="65" spans="1:15" ht="25.4" customHeight="1">
      <c r="A65" s="416" t="s">
        <v>21</v>
      </c>
      <c r="B65" s="328">
        <v>81</v>
      </c>
      <c r="C65" s="329">
        <v>100</v>
      </c>
      <c r="D65" s="330">
        <v>811000</v>
      </c>
      <c r="E65" s="372" t="s">
        <v>1058</v>
      </c>
      <c r="F65" s="373">
        <f t="shared" si="0"/>
        <v>14</v>
      </c>
      <c r="G65" s="374">
        <v>0</v>
      </c>
      <c r="H65" s="375">
        <v>14</v>
      </c>
      <c r="I65" s="327">
        <v>12.833333333333332</v>
      </c>
      <c r="J65" s="331" t="s">
        <v>669</v>
      </c>
      <c r="K65" s="332">
        <v>3103</v>
      </c>
      <c r="L65" s="333">
        <v>2955</v>
      </c>
      <c r="M65" s="333">
        <v>2972</v>
      </c>
      <c r="N65" s="333">
        <v>2837</v>
      </c>
      <c r="O65" s="334">
        <v>2642.3214800000001</v>
      </c>
    </row>
    <row r="66" spans="1:15" ht="25.4" customHeight="1">
      <c r="A66" s="416" t="s">
        <v>21</v>
      </c>
      <c r="B66" s="328">
        <v>81</v>
      </c>
      <c r="C66" s="329">
        <v>102</v>
      </c>
      <c r="D66" s="330">
        <v>811000</v>
      </c>
      <c r="E66" s="372" t="s">
        <v>543</v>
      </c>
      <c r="F66" s="373">
        <f t="shared" si="0"/>
        <v>7.5</v>
      </c>
      <c r="G66" s="374">
        <v>0</v>
      </c>
      <c r="H66" s="375">
        <v>7.5</v>
      </c>
      <c r="I66" s="327">
        <v>6.5</v>
      </c>
      <c r="J66" s="331" t="s">
        <v>669</v>
      </c>
      <c r="K66" s="332">
        <v>1475</v>
      </c>
      <c r="L66" s="333">
        <v>1314</v>
      </c>
      <c r="M66" s="333">
        <v>1401</v>
      </c>
      <c r="N66" s="333">
        <v>1401</v>
      </c>
      <c r="O66" s="334">
        <v>1273.8190900000002</v>
      </c>
    </row>
    <row r="67" spans="1:15" ht="25.4" customHeight="1">
      <c r="A67" s="416" t="s">
        <v>767</v>
      </c>
      <c r="B67" s="328">
        <v>81</v>
      </c>
      <c r="C67" s="329">
        <v>310</v>
      </c>
      <c r="D67" s="330">
        <v>811900</v>
      </c>
      <c r="E67" s="372" t="s">
        <v>826</v>
      </c>
      <c r="F67" s="373">
        <f t="shared" si="0"/>
        <v>181.93</v>
      </c>
      <c r="G67" s="374">
        <v>0</v>
      </c>
      <c r="H67" s="375">
        <v>181.93</v>
      </c>
      <c r="I67" s="327">
        <v>181.93220000000002</v>
      </c>
      <c r="J67" s="331" t="s">
        <v>669</v>
      </c>
      <c r="K67" s="332">
        <v>23700</v>
      </c>
      <c r="L67" s="333">
        <v>22000</v>
      </c>
      <c r="M67" s="333">
        <v>23150</v>
      </c>
      <c r="N67" s="333">
        <v>23500</v>
      </c>
      <c r="O67" s="334">
        <v>20904.797579999999</v>
      </c>
    </row>
    <row r="68" spans="1:15" ht="25.4" customHeight="1">
      <c r="A68" s="416" t="s">
        <v>767</v>
      </c>
      <c r="B68" s="328">
        <v>81</v>
      </c>
      <c r="C68" s="329">
        <v>320</v>
      </c>
      <c r="D68" s="330">
        <v>811900</v>
      </c>
      <c r="E68" s="372" t="s">
        <v>827</v>
      </c>
      <c r="F68" s="373">
        <f t="shared" si="0"/>
        <v>0</v>
      </c>
      <c r="G68" s="374">
        <v>0</v>
      </c>
      <c r="H68" s="375">
        <v>0</v>
      </c>
      <c r="I68" s="327">
        <v>0</v>
      </c>
      <c r="J68" s="331" t="s">
        <v>669</v>
      </c>
      <c r="K68" s="332">
        <v>4000</v>
      </c>
      <c r="L68" s="333">
        <v>3450</v>
      </c>
      <c r="M68" s="333">
        <v>3450</v>
      </c>
      <c r="N68" s="333">
        <v>4000</v>
      </c>
      <c r="O68" s="334">
        <v>2634.4057400000002</v>
      </c>
    </row>
    <row r="69" spans="1:15" ht="25.4" customHeight="1">
      <c r="A69" s="416" t="s">
        <v>313</v>
      </c>
      <c r="B69" s="328">
        <v>81</v>
      </c>
      <c r="C69" s="329">
        <v>100</v>
      </c>
      <c r="D69" s="330">
        <v>812000</v>
      </c>
      <c r="E69" s="372" t="s">
        <v>1629</v>
      </c>
      <c r="F69" s="373">
        <f t="shared" ref="F69:F132" si="1">H69-G69</f>
        <v>185.74</v>
      </c>
      <c r="G69" s="374">
        <v>0</v>
      </c>
      <c r="H69" s="375">
        <v>185.74</v>
      </c>
      <c r="I69" s="327">
        <v>176.91020000000003</v>
      </c>
      <c r="J69" s="331" t="s">
        <v>669</v>
      </c>
      <c r="K69" s="332">
        <v>22943</v>
      </c>
      <c r="L69" s="333">
        <v>21907</v>
      </c>
      <c r="M69" s="333">
        <v>22088</v>
      </c>
      <c r="N69" s="333">
        <v>22198</v>
      </c>
      <c r="O69" s="334">
        <v>20026.796829999999</v>
      </c>
    </row>
    <row r="70" spans="1:15" ht="25.4" customHeight="1">
      <c r="A70" s="416" t="s">
        <v>313</v>
      </c>
      <c r="B70" s="328">
        <v>81</v>
      </c>
      <c r="C70" s="329">
        <v>101</v>
      </c>
      <c r="D70" s="330">
        <v>812000</v>
      </c>
      <c r="E70" s="372" t="s">
        <v>28</v>
      </c>
      <c r="F70" s="373">
        <f t="shared" si="1"/>
        <v>6</v>
      </c>
      <c r="G70" s="374">
        <v>0</v>
      </c>
      <c r="H70" s="375">
        <v>6</v>
      </c>
      <c r="I70" s="326">
        <v>6</v>
      </c>
      <c r="J70" s="331" t="s">
        <v>669</v>
      </c>
      <c r="K70" s="332">
        <v>1123</v>
      </c>
      <c r="L70" s="333">
        <v>1097</v>
      </c>
      <c r="M70" s="333">
        <v>1110</v>
      </c>
      <c r="N70" s="333">
        <v>1110</v>
      </c>
      <c r="O70" s="334">
        <v>1089.1334099999999</v>
      </c>
    </row>
    <row r="71" spans="1:15" ht="25.4" customHeight="1">
      <c r="A71" s="416" t="s">
        <v>313</v>
      </c>
      <c r="B71" s="328">
        <v>81</v>
      </c>
      <c r="C71" s="329">
        <v>102</v>
      </c>
      <c r="D71" s="330">
        <v>812000</v>
      </c>
      <c r="E71" s="379" t="s">
        <v>235</v>
      </c>
      <c r="F71" s="373">
        <f t="shared" si="1"/>
        <v>34.020000000000003</v>
      </c>
      <c r="G71" s="374">
        <v>0</v>
      </c>
      <c r="H71" s="375">
        <v>34.020000000000003</v>
      </c>
      <c r="I71" s="326">
        <v>28.203466666666667</v>
      </c>
      <c r="J71" s="331" t="s">
        <v>669</v>
      </c>
      <c r="K71" s="332">
        <v>4212</v>
      </c>
      <c r="L71" s="333">
        <v>3816</v>
      </c>
      <c r="M71" s="333">
        <v>3798</v>
      </c>
      <c r="N71" s="333">
        <v>3798</v>
      </c>
      <c r="O71" s="334">
        <v>3290.1298199999997</v>
      </c>
    </row>
    <row r="72" spans="1:15" ht="25.4" customHeight="1">
      <c r="A72" s="416" t="s">
        <v>313</v>
      </c>
      <c r="B72" s="328">
        <v>81</v>
      </c>
      <c r="C72" s="329">
        <v>103</v>
      </c>
      <c r="D72" s="330">
        <v>812000</v>
      </c>
      <c r="E72" s="372" t="s">
        <v>1998</v>
      </c>
      <c r="F72" s="373">
        <f t="shared" si="1"/>
        <v>0</v>
      </c>
      <c r="G72" s="374">
        <v>23.8</v>
      </c>
      <c r="H72" s="375">
        <v>23.8</v>
      </c>
      <c r="I72" s="326">
        <v>19.686783333333334</v>
      </c>
      <c r="J72" s="331" t="s">
        <v>669</v>
      </c>
      <c r="K72" s="332">
        <v>2757</v>
      </c>
      <c r="L72" s="333">
        <v>2364</v>
      </c>
      <c r="M72" s="333">
        <v>2168</v>
      </c>
      <c r="N72" s="333">
        <v>1968</v>
      </c>
      <c r="O72" s="334">
        <v>1909.0106000000001</v>
      </c>
    </row>
    <row r="73" spans="1:15" ht="25.4" customHeight="1">
      <c r="A73" s="416" t="s">
        <v>313</v>
      </c>
      <c r="B73" s="328">
        <v>81</v>
      </c>
      <c r="C73" s="329">
        <v>104</v>
      </c>
      <c r="D73" s="330">
        <v>812000</v>
      </c>
      <c r="E73" s="376" t="s">
        <v>1999</v>
      </c>
      <c r="F73" s="373">
        <f t="shared" si="1"/>
        <v>0</v>
      </c>
      <c r="G73" s="374">
        <v>26.25</v>
      </c>
      <c r="H73" s="375">
        <v>26.25</v>
      </c>
      <c r="I73" s="326">
        <v>26.382050000000003</v>
      </c>
      <c r="J73" s="331" t="s">
        <v>669</v>
      </c>
      <c r="K73" s="332">
        <v>2916</v>
      </c>
      <c r="L73" s="333">
        <v>3050</v>
      </c>
      <c r="M73" s="333">
        <v>3495</v>
      </c>
      <c r="N73" s="333">
        <v>3695</v>
      </c>
      <c r="O73" s="334">
        <v>3051.5267899999999</v>
      </c>
    </row>
    <row r="74" spans="1:15" ht="25.4" customHeight="1">
      <c r="A74" s="416" t="s">
        <v>313</v>
      </c>
      <c r="B74" s="328">
        <v>81</v>
      </c>
      <c r="C74" s="329">
        <v>106</v>
      </c>
      <c r="D74" s="330">
        <v>812000</v>
      </c>
      <c r="E74" s="372" t="s">
        <v>1715</v>
      </c>
      <c r="F74" s="373">
        <f t="shared" si="1"/>
        <v>0</v>
      </c>
      <c r="G74" s="374">
        <v>48.6</v>
      </c>
      <c r="H74" s="375">
        <v>48.6</v>
      </c>
      <c r="I74" s="326">
        <v>29.826316666666667</v>
      </c>
      <c r="J74" s="331" t="s">
        <v>669</v>
      </c>
      <c r="K74" s="332">
        <v>5141</v>
      </c>
      <c r="L74" s="333">
        <v>3793</v>
      </c>
      <c r="M74" s="333">
        <v>3698</v>
      </c>
      <c r="N74" s="333">
        <v>3698</v>
      </c>
      <c r="O74" s="334">
        <v>3124.8917299999998</v>
      </c>
    </row>
    <row r="75" spans="1:15" ht="25.4" customHeight="1">
      <c r="A75" s="416" t="s">
        <v>313</v>
      </c>
      <c r="B75" s="328">
        <v>81</v>
      </c>
      <c r="C75" s="329">
        <v>107</v>
      </c>
      <c r="D75" s="330">
        <v>812000</v>
      </c>
      <c r="E75" s="372" t="s">
        <v>1699</v>
      </c>
      <c r="F75" s="373">
        <f t="shared" si="1"/>
        <v>0</v>
      </c>
      <c r="G75" s="374">
        <v>6</v>
      </c>
      <c r="H75" s="375">
        <v>6</v>
      </c>
      <c r="I75" s="326">
        <v>5.2341833333333341</v>
      </c>
      <c r="J75" s="331" t="s">
        <v>669</v>
      </c>
      <c r="K75" s="332">
        <v>534</v>
      </c>
      <c r="L75" s="333">
        <v>645</v>
      </c>
      <c r="M75" s="333">
        <v>645</v>
      </c>
      <c r="N75" s="333">
        <v>453</v>
      </c>
      <c r="O75" s="334">
        <v>731.10804000000007</v>
      </c>
    </row>
    <row r="76" spans="1:15" ht="25.4" customHeight="1">
      <c r="A76" s="416" t="s">
        <v>594</v>
      </c>
      <c r="B76" s="328">
        <v>81</v>
      </c>
      <c r="C76" s="329">
        <v>101</v>
      </c>
      <c r="D76" s="330">
        <v>813200</v>
      </c>
      <c r="E76" s="372" t="s">
        <v>870</v>
      </c>
      <c r="F76" s="373">
        <f t="shared" si="1"/>
        <v>18.579999999999998</v>
      </c>
      <c r="G76" s="374">
        <v>0</v>
      </c>
      <c r="H76" s="375">
        <v>18.579999999999998</v>
      </c>
      <c r="I76" s="326">
        <v>18.23</v>
      </c>
      <c r="J76" s="331" t="s">
        <v>669</v>
      </c>
      <c r="K76" s="332">
        <v>3216</v>
      </c>
      <c r="L76" s="333">
        <v>3104</v>
      </c>
      <c r="M76" s="333">
        <v>3147</v>
      </c>
      <c r="N76" s="333">
        <v>3097</v>
      </c>
      <c r="O76" s="334">
        <v>2884.77772</v>
      </c>
    </row>
    <row r="77" spans="1:15" ht="25.4" customHeight="1">
      <c r="A77" s="416" t="s">
        <v>594</v>
      </c>
      <c r="B77" s="328">
        <v>81</v>
      </c>
      <c r="C77" s="329">
        <v>102</v>
      </c>
      <c r="D77" s="330">
        <v>813200</v>
      </c>
      <c r="E77" s="372" t="s">
        <v>82</v>
      </c>
      <c r="F77" s="373">
        <f t="shared" si="1"/>
        <v>17</v>
      </c>
      <c r="G77" s="374">
        <v>0</v>
      </c>
      <c r="H77" s="375">
        <v>17</v>
      </c>
      <c r="I77" s="326">
        <v>17</v>
      </c>
      <c r="J77" s="331" t="s">
        <v>669</v>
      </c>
      <c r="K77" s="332">
        <v>2409</v>
      </c>
      <c r="L77" s="333">
        <v>2335</v>
      </c>
      <c r="M77" s="333">
        <v>2414</v>
      </c>
      <c r="N77" s="333">
        <v>2414</v>
      </c>
      <c r="O77" s="334">
        <v>2353.2963599999998</v>
      </c>
    </row>
    <row r="78" spans="1:15" ht="25.4" customHeight="1">
      <c r="A78" s="416" t="s">
        <v>594</v>
      </c>
      <c r="B78" s="328">
        <v>81</v>
      </c>
      <c r="C78" s="329">
        <v>103</v>
      </c>
      <c r="D78" s="330">
        <v>813200</v>
      </c>
      <c r="E78" s="372" t="s">
        <v>1172</v>
      </c>
      <c r="F78" s="373">
        <f t="shared" si="1"/>
        <v>8.8800000000000008</v>
      </c>
      <c r="G78" s="374">
        <v>0</v>
      </c>
      <c r="H78" s="375">
        <v>8.8800000000000008</v>
      </c>
      <c r="I78" s="327">
        <v>8.6662333333333326</v>
      </c>
      <c r="J78" s="331" t="s">
        <v>669</v>
      </c>
      <c r="K78" s="332">
        <v>1377</v>
      </c>
      <c r="L78" s="333">
        <v>1307</v>
      </c>
      <c r="M78" s="333">
        <v>1356</v>
      </c>
      <c r="N78" s="333">
        <v>1356</v>
      </c>
      <c r="O78" s="334">
        <v>1216.64825</v>
      </c>
    </row>
    <row r="79" spans="1:15" ht="25.4" customHeight="1">
      <c r="A79" s="416" t="s">
        <v>594</v>
      </c>
      <c r="B79" s="328">
        <v>81</v>
      </c>
      <c r="C79" s="329">
        <v>104</v>
      </c>
      <c r="D79" s="330">
        <v>813200</v>
      </c>
      <c r="E79" s="372" t="s">
        <v>2072</v>
      </c>
      <c r="F79" s="373">
        <f t="shared" si="1"/>
        <v>0</v>
      </c>
      <c r="G79" s="374">
        <v>0</v>
      </c>
      <c r="H79" s="375">
        <v>0</v>
      </c>
      <c r="I79" s="327">
        <v>0</v>
      </c>
      <c r="J79" s="331" t="s">
        <v>669</v>
      </c>
      <c r="K79" s="332">
        <v>0</v>
      </c>
      <c r="L79" s="333">
        <v>0</v>
      </c>
      <c r="M79" s="333">
        <v>0</v>
      </c>
      <c r="N79" s="333">
        <v>199</v>
      </c>
      <c r="O79" s="334">
        <v>0</v>
      </c>
    </row>
    <row r="80" spans="1:15" ht="25.4" customHeight="1">
      <c r="A80" s="416" t="s">
        <v>594</v>
      </c>
      <c r="B80" s="328">
        <v>81</v>
      </c>
      <c r="C80" s="329">
        <v>105</v>
      </c>
      <c r="D80" s="330">
        <v>813200</v>
      </c>
      <c r="E80" s="372" t="s">
        <v>1420</v>
      </c>
      <c r="F80" s="373">
        <f t="shared" si="1"/>
        <v>5</v>
      </c>
      <c r="G80" s="374">
        <v>0</v>
      </c>
      <c r="H80" s="375">
        <v>5</v>
      </c>
      <c r="I80" s="327">
        <v>4.8485000000000005</v>
      </c>
      <c r="J80" s="331" t="s">
        <v>669</v>
      </c>
      <c r="K80" s="332">
        <v>551</v>
      </c>
      <c r="L80" s="333">
        <v>512</v>
      </c>
      <c r="M80" s="333">
        <v>512</v>
      </c>
      <c r="N80" s="333">
        <v>632</v>
      </c>
      <c r="O80" s="334">
        <v>525.43828000000008</v>
      </c>
    </row>
    <row r="81" spans="1:15" ht="25.4" customHeight="1">
      <c r="A81" s="416" t="s">
        <v>594</v>
      </c>
      <c r="B81" s="328">
        <v>81</v>
      </c>
      <c r="C81" s="329">
        <v>106</v>
      </c>
      <c r="D81" s="330">
        <v>813200</v>
      </c>
      <c r="E81" s="372" t="s">
        <v>1243</v>
      </c>
      <c r="F81" s="373">
        <f t="shared" si="1"/>
        <v>0</v>
      </c>
      <c r="G81" s="374">
        <v>25.8</v>
      </c>
      <c r="H81" s="375">
        <v>25.8</v>
      </c>
      <c r="I81" s="327">
        <v>20.20611666666667</v>
      </c>
      <c r="J81" s="331" t="s">
        <v>669</v>
      </c>
      <c r="K81" s="332">
        <v>2907</v>
      </c>
      <c r="L81" s="333">
        <v>2481</v>
      </c>
      <c r="M81" s="333">
        <v>2876</v>
      </c>
      <c r="N81" s="333">
        <v>2876</v>
      </c>
      <c r="O81" s="334">
        <v>2459.6382200000003</v>
      </c>
    </row>
    <row r="82" spans="1:15" ht="25.4" customHeight="1">
      <c r="A82" s="416" t="s">
        <v>594</v>
      </c>
      <c r="B82" s="328">
        <v>81</v>
      </c>
      <c r="C82" s="329">
        <v>107</v>
      </c>
      <c r="D82" s="330">
        <v>813200</v>
      </c>
      <c r="E82" s="372" t="s">
        <v>1699</v>
      </c>
      <c r="F82" s="373">
        <f t="shared" si="1"/>
        <v>0</v>
      </c>
      <c r="G82" s="374">
        <v>30</v>
      </c>
      <c r="H82" s="375">
        <v>30</v>
      </c>
      <c r="I82" s="327">
        <v>31.82393333333334</v>
      </c>
      <c r="J82" s="331" t="s">
        <v>669</v>
      </c>
      <c r="K82" s="332">
        <v>1787</v>
      </c>
      <c r="L82" s="333">
        <v>2781</v>
      </c>
      <c r="M82" s="333">
        <v>2792</v>
      </c>
      <c r="N82" s="333">
        <v>1886</v>
      </c>
      <c r="O82" s="334">
        <v>2811.3073799999997</v>
      </c>
    </row>
    <row r="83" spans="1:15" ht="25.4" customHeight="1">
      <c r="A83" s="416" t="s">
        <v>594</v>
      </c>
      <c r="B83" s="328">
        <v>81</v>
      </c>
      <c r="C83" s="329">
        <v>108</v>
      </c>
      <c r="D83" s="330">
        <v>813200</v>
      </c>
      <c r="E83" s="372" t="s">
        <v>1664</v>
      </c>
      <c r="F83" s="373">
        <f t="shared" si="1"/>
        <v>0</v>
      </c>
      <c r="G83" s="374">
        <v>1</v>
      </c>
      <c r="H83" s="375">
        <v>1</v>
      </c>
      <c r="I83" s="327">
        <v>0</v>
      </c>
      <c r="J83" s="331" t="s">
        <v>669</v>
      </c>
      <c r="K83" s="332">
        <v>80</v>
      </c>
      <c r="L83" s="333">
        <v>52</v>
      </c>
      <c r="M83" s="333">
        <v>52</v>
      </c>
      <c r="N83" s="333">
        <v>80</v>
      </c>
      <c r="O83" s="334">
        <v>100.05389</v>
      </c>
    </row>
    <row r="84" spans="1:15" ht="25.4" customHeight="1">
      <c r="A84" s="416" t="s">
        <v>594</v>
      </c>
      <c r="B84" s="328">
        <v>81</v>
      </c>
      <c r="C84" s="329">
        <v>109</v>
      </c>
      <c r="D84" s="330">
        <v>813200</v>
      </c>
      <c r="E84" s="372" t="s">
        <v>2024</v>
      </c>
      <c r="F84" s="373">
        <f t="shared" si="1"/>
        <v>0</v>
      </c>
      <c r="G84" s="374">
        <v>0</v>
      </c>
      <c r="H84" s="375">
        <v>0</v>
      </c>
      <c r="I84" s="327">
        <v>0.96360000000000012</v>
      </c>
      <c r="J84" s="331" t="s">
        <v>669</v>
      </c>
      <c r="K84" s="332">
        <v>200</v>
      </c>
      <c r="L84" s="333">
        <v>200</v>
      </c>
      <c r="M84" s="333">
        <v>200</v>
      </c>
      <c r="N84" s="333">
        <v>200</v>
      </c>
      <c r="O84" s="334">
        <v>130.57291000000001</v>
      </c>
    </row>
    <row r="85" spans="1:15" ht="25.4" customHeight="1">
      <c r="A85" s="416" t="s">
        <v>594</v>
      </c>
      <c r="B85" s="328">
        <v>81</v>
      </c>
      <c r="C85" s="329">
        <v>110</v>
      </c>
      <c r="D85" s="330">
        <v>813200</v>
      </c>
      <c r="E85" s="372" t="s">
        <v>2294</v>
      </c>
      <c r="F85" s="373">
        <f t="shared" si="1"/>
        <v>0</v>
      </c>
      <c r="G85" s="374">
        <v>28.87</v>
      </c>
      <c r="H85" s="375">
        <v>28.87</v>
      </c>
      <c r="I85" s="327">
        <v>0</v>
      </c>
      <c r="J85" s="331" t="s">
        <v>669</v>
      </c>
      <c r="K85" s="332">
        <v>3192</v>
      </c>
      <c r="L85" s="333">
        <v>2210</v>
      </c>
      <c r="M85" s="333">
        <v>2210</v>
      </c>
      <c r="N85" s="333">
        <v>0</v>
      </c>
      <c r="O85" s="334">
        <v>0</v>
      </c>
    </row>
    <row r="86" spans="1:15" ht="25.4" customHeight="1">
      <c r="A86" s="416" t="s">
        <v>424</v>
      </c>
      <c r="B86" s="328">
        <v>81</v>
      </c>
      <c r="C86" s="329">
        <v>100</v>
      </c>
      <c r="D86" s="330">
        <v>813210</v>
      </c>
      <c r="E86" s="372" t="s">
        <v>848</v>
      </c>
      <c r="F86" s="373">
        <f t="shared" si="1"/>
        <v>1</v>
      </c>
      <c r="G86" s="374">
        <v>0</v>
      </c>
      <c r="H86" s="375">
        <v>1</v>
      </c>
      <c r="I86" s="327">
        <v>1</v>
      </c>
      <c r="J86" s="331" t="s">
        <v>669</v>
      </c>
      <c r="K86" s="332">
        <v>221</v>
      </c>
      <c r="L86" s="333">
        <v>216</v>
      </c>
      <c r="M86" s="333">
        <v>192</v>
      </c>
      <c r="N86" s="333">
        <v>192</v>
      </c>
      <c r="O86" s="334">
        <v>182.40248</v>
      </c>
    </row>
    <row r="87" spans="1:15" ht="25.4" customHeight="1">
      <c r="A87" s="416" t="s">
        <v>1193</v>
      </c>
      <c r="B87" s="328">
        <v>81</v>
      </c>
      <c r="C87" s="329">
        <v>100</v>
      </c>
      <c r="D87" s="330">
        <v>813220</v>
      </c>
      <c r="E87" s="372" t="s">
        <v>1058</v>
      </c>
      <c r="F87" s="373">
        <f t="shared" si="1"/>
        <v>1</v>
      </c>
      <c r="G87" s="374">
        <v>0</v>
      </c>
      <c r="H87" s="375">
        <v>1</v>
      </c>
      <c r="I87" s="327">
        <v>1</v>
      </c>
      <c r="J87" s="331" t="s">
        <v>669</v>
      </c>
      <c r="K87" s="332">
        <v>158</v>
      </c>
      <c r="L87" s="333">
        <v>154</v>
      </c>
      <c r="M87" s="333">
        <v>171</v>
      </c>
      <c r="N87" s="333">
        <v>171</v>
      </c>
      <c r="O87" s="334">
        <v>141.12450000000001</v>
      </c>
    </row>
    <row r="88" spans="1:15" ht="25.4" customHeight="1">
      <c r="A88" s="416" t="s">
        <v>1157</v>
      </c>
      <c r="B88" s="328">
        <v>81</v>
      </c>
      <c r="C88" s="329">
        <v>100</v>
      </c>
      <c r="D88" s="330">
        <v>813300</v>
      </c>
      <c r="E88" s="376" t="s">
        <v>28</v>
      </c>
      <c r="F88" s="373">
        <f t="shared" si="1"/>
        <v>4.5</v>
      </c>
      <c r="G88" s="374">
        <v>0</v>
      </c>
      <c r="H88" s="375">
        <v>4.5</v>
      </c>
      <c r="I88" s="327">
        <v>3.916666666666667</v>
      </c>
      <c r="J88" s="331" t="s">
        <v>669</v>
      </c>
      <c r="K88" s="332">
        <v>922</v>
      </c>
      <c r="L88" s="333">
        <v>825</v>
      </c>
      <c r="M88" s="333">
        <v>890</v>
      </c>
      <c r="N88" s="333">
        <v>835</v>
      </c>
      <c r="O88" s="334">
        <v>783.65720999999996</v>
      </c>
    </row>
    <row r="89" spans="1:15" ht="25.4" customHeight="1">
      <c r="A89" s="416" t="s">
        <v>1157</v>
      </c>
      <c r="B89" s="328">
        <v>81</v>
      </c>
      <c r="C89" s="329">
        <v>101</v>
      </c>
      <c r="D89" s="330">
        <v>813300</v>
      </c>
      <c r="E89" s="372" t="s">
        <v>739</v>
      </c>
      <c r="F89" s="373">
        <f t="shared" si="1"/>
        <v>3.65</v>
      </c>
      <c r="G89" s="374">
        <v>0</v>
      </c>
      <c r="H89" s="375">
        <v>3.65</v>
      </c>
      <c r="I89" s="326">
        <v>3.5</v>
      </c>
      <c r="J89" s="331" t="s">
        <v>669</v>
      </c>
      <c r="K89" s="332">
        <v>515</v>
      </c>
      <c r="L89" s="333">
        <v>490</v>
      </c>
      <c r="M89" s="333">
        <v>499</v>
      </c>
      <c r="N89" s="333">
        <v>499</v>
      </c>
      <c r="O89" s="334">
        <v>444.30596000000003</v>
      </c>
    </row>
    <row r="90" spans="1:15" ht="25.4" customHeight="1">
      <c r="A90" s="418" t="s">
        <v>1157</v>
      </c>
      <c r="B90" s="392">
        <v>81</v>
      </c>
      <c r="C90" s="393">
        <v>102</v>
      </c>
      <c r="D90" s="394">
        <v>813300</v>
      </c>
      <c r="E90" s="395" t="s">
        <v>819</v>
      </c>
      <c r="F90" s="373">
        <f t="shared" si="1"/>
        <v>2</v>
      </c>
      <c r="G90" s="374">
        <v>0</v>
      </c>
      <c r="H90" s="396">
        <v>2</v>
      </c>
      <c r="I90" s="326">
        <v>2</v>
      </c>
      <c r="J90" s="331" t="s">
        <v>669</v>
      </c>
      <c r="K90" s="332">
        <v>290</v>
      </c>
      <c r="L90" s="333">
        <v>284</v>
      </c>
      <c r="M90" s="333">
        <v>298</v>
      </c>
      <c r="N90" s="333">
        <v>298</v>
      </c>
      <c r="O90" s="334">
        <v>278.60710999999998</v>
      </c>
    </row>
    <row r="91" spans="1:15" ht="25.4" customHeight="1">
      <c r="A91" s="416" t="s">
        <v>1157</v>
      </c>
      <c r="B91" s="328">
        <v>81</v>
      </c>
      <c r="C91" s="329">
        <v>103</v>
      </c>
      <c r="D91" s="330">
        <v>813300</v>
      </c>
      <c r="E91" s="397" t="s">
        <v>1961</v>
      </c>
      <c r="F91" s="373">
        <f t="shared" si="1"/>
        <v>1</v>
      </c>
      <c r="G91" s="374">
        <v>0</v>
      </c>
      <c r="H91" s="375">
        <v>1</v>
      </c>
      <c r="I91" s="327">
        <v>0</v>
      </c>
      <c r="J91" s="331" t="s">
        <v>669</v>
      </c>
      <c r="K91" s="332">
        <v>133</v>
      </c>
      <c r="L91" s="333">
        <v>130</v>
      </c>
      <c r="M91" s="333">
        <v>130</v>
      </c>
      <c r="N91" s="333">
        <v>130</v>
      </c>
      <c r="O91" s="334">
        <v>0</v>
      </c>
    </row>
    <row r="92" spans="1:15" ht="25.4" customHeight="1">
      <c r="A92" s="416" t="s">
        <v>1157</v>
      </c>
      <c r="B92" s="328">
        <v>81</v>
      </c>
      <c r="C92" s="329">
        <v>104</v>
      </c>
      <c r="D92" s="330">
        <v>813300</v>
      </c>
      <c r="E92" s="376" t="s">
        <v>1786</v>
      </c>
      <c r="F92" s="373">
        <f t="shared" si="1"/>
        <v>250.9</v>
      </c>
      <c r="G92" s="374">
        <v>0</v>
      </c>
      <c r="H92" s="375">
        <v>250.9</v>
      </c>
      <c r="I92" s="327">
        <v>210.28554999999946</v>
      </c>
      <c r="J92" s="331" t="s">
        <v>669</v>
      </c>
      <c r="K92" s="332">
        <v>33721</v>
      </c>
      <c r="L92" s="333">
        <v>30670</v>
      </c>
      <c r="M92" s="333">
        <v>31406</v>
      </c>
      <c r="N92" s="333">
        <v>31833</v>
      </c>
      <c r="O92" s="334">
        <v>26728.444210000001</v>
      </c>
    </row>
    <row r="93" spans="1:15" ht="25.4" customHeight="1">
      <c r="A93" s="416" t="s">
        <v>1157</v>
      </c>
      <c r="B93" s="328">
        <v>81</v>
      </c>
      <c r="C93" s="329">
        <v>105</v>
      </c>
      <c r="D93" s="330">
        <v>813300</v>
      </c>
      <c r="E93" s="376" t="s">
        <v>1411</v>
      </c>
      <c r="F93" s="373">
        <f t="shared" si="1"/>
        <v>0.7</v>
      </c>
      <c r="G93" s="374">
        <v>0</v>
      </c>
      <c r="H93" s="375">
        <v>0.7</v>
      </c>
      <c r="I93" s="327">
        <v>0.6823999999999999</v>
      </c>
      <c r="J93" s="331" t="s">
        <v>669</v>
      </c>
      <c r="K93" s="332">
        <v>91</v>
      </c>
      <c r="L93" s="333">
        <v>88</v>
      </c>
      <c r="M93" s="333">
        <v>87</v>
      </c>
      <c r="N93" s="333">
        <v>87</v>
      </c>
      <c r="O93" s="334">
        <v>82.674399999999991</v>
      </c>
    </row>
    <row r="94" spans="1:15" ht="25.4" customHeight="1">
      <c r="A94" s="416" t="s">
        <v>1157</v>
      </c>
      <c r="B94" s="328">
        <v>81</v>
      </c>
      <c r="C94" s="329">
        <v>107</v>
      </c>
      <c r="D94" s="330">
        <v>813300</v>
      </c>
      <c r="E94" s="376" t="s">
        <v>1699</v>
      </c>
      <c r="F94" s="373">
        <f t="shared" si="1"/>
        <v>0</v>
      </c>
      <c r="G94" s="374">
        <v>1.9</v>
      </c>
      <c r="H94" s="375">
        <v>1.9</v>
      </c>
      <c r="I94" s="327">
        <v>2.4357833333333336</v>
      </c>
      <c r="J94" s="331" t="s">
        <v>669</v>
      </c>
      <c r="K94" s="332">
        <v>161</v>
      </c>
      <c r="L94" s="333">
        <v>225</v>
      </c>
      <c r="M94" s="333">
        <v>225</v>
      </c>
      <c r="N94" s="333">
        <v>161</v>
      </c>
      <c r="O94" s="334">
        <v>321.20465999999999</v>
      </c>
    </row>
    <row r="95" spans="1:15" ht="25.4" customHeight="1">
      <c r="A95" s="416" t="s">
        <v>1003</v>
      </c>
      <c r="B95" s="328">
        <v>82</v>
      </c>
      <c r="C95" s="329">
        <v>103</v>
      </c>
      <c r="D95" s="330">
        <v>813600</v>
      </c>
      <c r="E95" s="376" t="s">
        <v>1899</v>
      </c>
      <c r="F95" s="373">
        <f t="shared" si="1"/>
        <v>2.5</v>
      </c>
      <c r="G95" s="374">
        <v>0</v>
      </c>
      <c r="H95" s="375">
        <v>2.5</v>
      </c>
      <c r="I95" s="327">
        <v>2.5</v>
      </c>
      <c r="J95" s="331" t="s">
        <v>669</v>
      </c>
      <c r="K95" s="332">
        <v>635</v>
      </c>
      <c r="L95" s="333">
        <v>621</v>
      </c>
      <c r="M95" s="333">
        <v>629</v>
      </c>
      <c r="N95" s="333">
        <v>629</v>
      </c>
      <c r="O95" s="334">
        <v>602.06518999999992</v>
      </c>
    </row>
    <row r="96" spans="1:15" ht="25.4" customHeight="1">
      <c r="A96" s="416" t="s">
        <v>1003</v>
      </c>
      <c r="B96" s="328">
        <v>81</v>
      </c>
      <c r="C96" s="329">
        <v>105</v>
      </c>
      <c r="D96" s="330">
        <v>813600</v>
      </c>
      <c r="E96" s="376" t="s">
        <v>1594</v>
      </c>
      <c r="F96" s="373">
        <f t="shared" si="1"/>
        <v>0</v>
      </c>
      <c r="G96" s="374">
        <v>2.5</v>
      </c>
      <c r="H96" s="375">
        <v>2.5</v>
      </c>
      <c r="I96" s="327">
        <v>2.8051166666666667</v>
      </c>
      <c r="J96" s="331" t="s">
        <v>669</v>
      </c>
      <c r="K96" s="332">
        <v>430</v>
      </c>
      <c r="L96" s="333">
        <v>429</v>
      </c>
      <c r="M96" s="333">
        <v>429</v>
      </c>
      <c r="N96" s="333">
        <v>379</v>
      </c>
      <c r="O96" s="334">
        <v>323.34084000000001</v>
      </c>
    </row>
    <row r="97" spans="1:15" ht="25.4" customHeight="1">
      <c r="A97" s="416" t="s">
        <v>1003</v>
      </c>
      <c r="B97" s="328">
        <v>81</v>
      </c>
      <c r="C97" s="329">
        <v>106</v>
      </c>
      <c r="D97" s="330">
        <v>813600</v>
      </c>
      <c r="E97" s="376" t="s">
        <v>117</v>
      </c>
      <c r="F97" s="373">
        <f t="shared" si="1"/>
        <v>0</v>
      </c>
      <c r="G97" s="374">
        <v>4</v>
      </c>
      <c r="H97" s="375">
        <v>4</v>
      </c>
      <c r="I97" s="327">
        <v>3.0746499999999997</v>
      </c>
      <c r="J97" s="331" t="s">
        <v>669</v>
      </c>
      <c r="K97" s="332">
        <v>360</v>
      </c>
      <c r="L97" s="333">
        <v>280</v>
      </c>
      <c r="M97" s="333">
        <v>281</v>
      </c>
      <c r="N97" s="333">
        <v>361</v>
      </c>
      <c r="O97" s="334">
        <v>320.88146</v>
      </c>
    </row>
    <row r="98" spans="1:15" ht="25.4" customHeight="1">
      <c r="A98" s="416" t="s">
        <v>1362</v>
      </c>
      <c r="B98" s="328">
        <v>81</v>
      </c>
      <c r="C98" s="329">
        <v>100</v>
      </c>
      <c r="D98" s="330">
        <v>813800</v>
      </c>
      <c r="E98" s="376" t="s">
        <v>1058</v>
      </c>
      <c r="F98" s="373">
        <f t="shared" si="1"/>
        <v>0</v>
      </c>
      <c r="G98" s="374">
        <v>0</v>
      </c>
      <c r="H98" s="375">
        <v>0</v>
      </c>
      <c r="I98" s="327">
        <v>0</v>
      </c>
      <c r="J98" s="331" t="s">
        <v>669</v>
      </c>
      <c r="K98" s="332">
        <v>64</v>
      </c>
      <c r="L98" s="333">
        <v>60</v>
      </c>
      <c r="M98" s="333">
        <v>63</v>
      </c>
      <c r="N98" s="333">
        <v>63</v>
      </c>
      <c r="O98" s="334">
        <v>0</v>
      </c>
    </row>
    <row r="99" spans="1:15" ht="25.4" customHeight="1">
      <c r="A99" s="416" t="s">
        <v>1362</v>
      </c>
      <c r="B99" s="328">
        <v>81</v>
      </c>
      <c r="C99" s="329">
        <v>101</v>
      </c>
      <c r="D99" s="330">
        <v>813800</v>
      </c>
      <c r="E99" s="372" t="s">
        <v>1243</v>
      </c>
      <c r="F99" s="373">
        <f t="shared" si="1"/>
        <v>0</v>
      </c>
      <c r="G99" s="374">
        <v>0</v>
      </c>
      <c r="H99" s="375">
        <v>0</v>
      </c>
      <c r="I99" s="327">
        <v>0</v>
      </c>
      <c r="J99" s="331" t="s">
        <v>669</v>
      </c>
      <c r="K99" s="332">
        <v>51</v>
      </c>
      <c r="L99" s="333">
        <v>50</v>
      </c>
      <c r="M99" s="333">
        <v>50</v>
      </c>
      <c r="N99" s="333">
        <v>20</v>
      </c>
      <c r="O99" s="334">
        <v>0</v>
      </c>
    </row>
    <row r="100" spans="1:15" ht="25.4" customHeight="1">
      <c r="A100" s="416" t="s">
        <v>1362</v>
      </c>
      <c r="B100" s="328">
        <v>81</v>
      </c>
      <c r="C100" s="329">
        <v>102</v>
      </c>
      <c r="D100" s="330">
        <v>813800</v>
      </c>
      <c r="E100" s="372" t="s">
        <v>1636</v>
      </c>
      <c r="F100" s="373">
        <f t="shared" si="1"/>
        <v>0</v>
      </c>
      <c r="G100" s="374">
        <v>0</v>
      </c>
      <c r="H100" s="375">
        <v>0</v>
      </c>
      <c r="I100" s="327">
        <v>0</v>
      </c>
      <c r="J100" s="331" t="s">
        <v>669</v>
      </c>
      <c r="K100" s="332">
        <v>29</v>
      </c>
      <c r="L100" s="333">
        <v>0</v>
      </c>
      <c r="M100" s="333">
        <v>0</v>
      </c>
      <c r="N100" s="333">
        <v>29</v>
      </c>
      <c r="O100" s="334">
        <v>27.654319999999998</v>
      </c>
    </row>
    <row r="101" spans="1:15" ht="25.4" customHeight="1">
      <c r="A101" s="416" t="s">
        <v>1362</v>
      </c>
      <c r="B101" s="328">
        <v>81</v>
      </c>
      <c r="C101" s="329">
        <v>103</v>
      </c>
      <c r="D101" s="330">
        <v>813800</v>
      </c>
      <c r="E101" s="372" t="s">
        <v>2151</v>
      </c>
      <c r="F101" s="373">
        <f t="shared" si="1"/>
        <v>0</v>
      </c>
      <c r="G101" s="374">
        <v>0</v>
      </c>
      <c r="H101" s="375"/>
      <c r="I101" s="327"/>
      <c r="J101" s="331" t="s">
        <v>669</v>
      </c>
      <c r="K101" s="332">
        <v>0</v>
      </c>
      <c r="L101" s="333">
        <v>260</v>
      </c>
      <c r="M101" s="333">
        <v>260</v>
      </c>
      <c r="N101" s="333">
        <v>0</v>
      </c>
      <c r="O101" s="334">
        <v>0</v>
      </c>
    </row>
    <row r="102" spans="1:15" ht="25.4" customHeight="1">
      <c r="A102" s="416" t="s">
        <v>638</v>
      </c>
      <c r="B102" s="328">
        <v>81</v>
      </c>
      <c r="C102" s="329">
        <v>101</v>
      </c>
      <c r="D102" s="330">
        <v>814000</v>
      </c>
      <c r="E102" s="372" t="s">
        <v>1377</v>
      </c>
      <c r="F102" s="373">
        <f t="shared" si="1"/>
        <v>9.0399999999999991</v>
      </c>
      <c r="G102" s="374">
        <v>0</v>
      </c>
      <c r="H102" s="375">
        <v>9.0399999999999991</v>
      </c>
      <c r="I102" s="327">
        <v>8.3279666666666667</v>
      </c>
      <c r="J102" s="331" t="s">
        <v>669</v>
      </c>
      <c r="K102" s="332">
        <v>1378</v>
      </c>
      <c r="L102" s="333">
        <v>1236</v>
      </c>
      <c r="M102" s="333">
        <v>1251</v>
      </c>
      <c r="N102" s="333">
        <v>1251</v>
      </c>
      <c r="O102" s="334">
        <v>1139.47658</v>
      </c>
    </row>
    <row r="103" spans="1:15" ht="25.4" customHeight="1">
      <c r="A103" s="416" t="s">
        <v>638</v>
      </c>
      <c r="B103" s="328">
        <v>81</v>
      </c>
      <c r="C103" s="329">
        <v>102</v>
      </c>
      <c r="D103" s="330">
        <v>814000</v>
      </c>
      <c r="E103" s="372" t="s">
        <v>1378</v>
      </c>
      <c r="F103" s="373">
        <f t="shared" si="1"/>
        <v>9.36</v>
      </c>
      <c r="G103" s="374">
        <v>0</v>
      </c>
      <c r="H103" s="375">
        <v>9.36</v>
      </c>
      <c r="I103" s="327">
        <v>7.2166666666666659</v>
      </c>
      <c r="J103" s="331" t="s">
        <v>669</v>
      </c>
      <c r="K103" s="332">
        <v>1472</v>
      </c>
      <c r="L103" s="333">
        <v>1141</v>
      </c>
      <c r="M103" s="333">
        <v>1297</v>
      </c>
      <c r="N103" s="333">
        <v>1297</v>
      </c>
      <c r="O103" s="334">
        <v>975.55214000000001</v>
      </c>
    </row>
    <row r="104" spans="1:15" ht="25.4" customHeight="1">
      <c r="A104" s="416" t="s">
        <v>638</v>
      </c>
      <c r="B104" s="328">
        <v>81</v>
      </c>
      <c r="C104" s="329">
        <v>103</v>
      </c>
      <c r="D104" s="330">
        <v>814000</v>
      </c>
      <c r="E104" s="372" t="s">
        <v>1379</v>
      </c>
      <c r="F104" s="373">
        <f t="shared" si="1"/>
        <v>11</v>
      </c>
      <c r="G104" s="374">
        <v>0</v>
      </c>
      <c r="H104" s="375">
        <v>11</v>
      </c>
      <c r="I104" s="327">
        <v>7.2268833333333342</v>
      </c>
      <c r="J104" s="331" t="s">
        <v>669</v>
      </c>
      <c r="K104" s="332">
        <v>1851</v>
      </c>
      <c r="L104" s="333">
        <v>1273</v>
      </c>
      <c r="M104" s="333">
        <v>1643</v>
      </c>
      <c r="N104" s="333">
        <v>1643</v>
      </c>
      <c r="O104" s="334">
        <v>1186.2620099999999</v>
      </c>
    </row>
    <row r="105" spans="1:15" ht="25.4" customHeight="1">
      <c r="A105" s="416" t="s">
        <v>638</v>
      </c>
      <c r="B105" s="328">
        <v>81</v>
      </c>
      <c r="C105" s="329">
        <v>104</v>
      </c>
      <c r="D105" s="330">
        <v>814000</v>
      </c>
      <c r="E105" s="372" t="s">
        <v>1380</v>
      </c>
      <c r="F105" s="373">
        <f t="shared" si="1"/>
        <v>7.92</v>
      </c>
      <c r="G105" s="374">
        <v>0</v>
      </c>
      <c r="H105" s="375">
        <v>7.92</v>
      </c>
      <c r="I105" s="327">
        <v>6.4097833333333334</v>
      </c>
      <c r="J105" s="331" t="s">
        <v>669</v>
      </c>
      <c r="K105" s="332">
        <v>1258</v>
      </c>
      <c r="L105" s="333">
        <v>1060</v>
      </c>
      <c r="M105" s="333">
        <v>1226</v>
      </c>
      <c r="N105" s="333">
        <v>1226</v>
      </c>
      <c r="O105" s="334">
        <v>988.61208999999997</v>
      </c>
    </row>
    <row r="106" spans="1:15" ht="25.4" customHeight="1">
      <c r="A106" s="416" t="s">
        <v>638</v>
      </c>
      <c r="B106" s="328">
        <v>81</v>
      </c>
      <c r="C106" s="329">
        <v>105</v>
      </c>
      <c r="D106" s="330">
        <v>814000</v>
      </c>
      <c r="E106" s="372" t="s">
        <v>1381</v>
      </c>
      <c r="F106" s="373">
        <f t="shared" si="1"/>
        <v>7.24</v>
      </c>
      <c r="G106" s="374">
        <v>0</v>
      </c>
      <c r="H106" s="375">
        <v>7.24</v>
      </c>
      <c r="I106" s="327">
        <v>7.2351999999999999</v>
      </c>
      <c r="J106" s="331" t="s">
        <v>669</v>
      </c>
      <c r="K106" s="332">
        <v>1185</v>
      </c>
      <c r="L106" s="333">
        <v>1157</v>
      </c>
      <c r="M106" s="333">
        <v>1132</v>
      </c>
      <c r="N106" s="333">
        <v>1132</v>
      </c>
      <c r="O106" s="334">
        <v>1081.9401699999999</v>
      </c>
    </row>
    <row r="107" spans="1:15" ht="25.4" customHeight="1">
      <c r="A107" s="416" t="s">
        <v>638</v>
      </c>
      <c r="B107" s="328">
        <v>81</v>
      </c>
      <c r="C107" s="329">
        <v>106</v>
      </c>
      <c r="D107" s="330">
        <v>814000</v>
      </c>
      <c r="E107" s="372" t="s">
        <v>1382</v>
      </c>
      <c r="F107" s="373">
        <f t="shared" si="1"/>
        <v>5.3</v>
      </c>
      <c r="G107" s="374">
        <v>0</v>
      </c>
      <c r="H107" s="375">
        <v>5.3</v>
      </c>
      <c r="I107" s="327">
        <v>5.3</v>
      </c>
      <c r="J107" s="331" t="s">
        <v>669</v>
      </c>
      <c r="K107" s="332">
        <v>832</v>
      </c>
      <c r="L107" s="333">
        <v>828</v>
      </c>
      <c r="M107" s="333">
        <v>856</v>
      </c>
      <c r="N107" s="333">
        <v>856</v>
      </c>
      <c r="O107" s="334">
        <v>777.05346999999995</v>
      </c>
    </row>
    <row r="108" spans="1:15" ht="25.4" customHeight="1">
      <c r="A108" s="416" t="s">
        <v>638</v>
      </c>
      <c r="B108" s="328">
        <v>81</v>
      </c>
      <c r="C108" s="329">
        <v>107</v>
      </c>
      <c r="D108" s="330">
        <v>814000</v>
      </c>
      <c r="E108" s="372" t="s">
        <v>1700</v>
      </c>
      <c r="F108" s="373">
        <f t="shared" si="1"/>
        <v>0</v>
      </c>
      <c r="G108" s="374">
        <v>10</v>
      </c>
      <c r="H108" s="375">
        <v>10</v>
      </c>
      <c r="I108" s="327">
        <v>10.364833333333335</v>
      </c>
      <c r="J108" s="331" t="s">
        <v>669</v>
      </c>
      <c r="K108" s="332">
        <v>613</v>
      </c>
      <c r="L108" s="333">
        <v>940</v>
      </c>
      <c r="M108" s="333">
        <v>940</v>
      </c>
      <c r="N108" s="333">
        <v>635</v>
      </c>
      <c r="O108" s="334">
        <v>914.45077000000003</v>
      </c>
    </row>
    <row r="109" spans="1:15" ht="25.4" customHeight="1">
      <c r="A109" s="416" t="s">
        <v>638</v>
      </c>
      <c r="B109" s="328">
        <v>81</v>
      </c>
      <c r="C109" s="329">
        <v>108</v>
      </c>
      <c r="D109" s="330">
        <v>814000</v>
      </c>
      <c r="E109" s="372" t="s">
        <v>1269</v>
      </c>
      <c r="F109" s="373">
        <f t="shared" si="1"/>
        <v>0</v>
      </c>
      <c r="G109" s="374">
        <v>3.7</v>
      </c>
      <c r="H109" s="375">
        <v>3.7</v>
      </c>
      <c r="I109" s="327">
        <v>2.4462166666666665</v>
      </c>
      <c r="J109" s="331" t="s">
        <v>669</v>
      </c>
      <c r="K109" s="332">
        <v>330</v>
      </c>
      <c r="L109" s="333">
        <v>378</v>
      </c>
      <c r="M109" s="333">
        <v>378</v>
      </c>
      <c r="N109" s="333">
        <v>300</v>
      </c>
      <c r="O109" s="334">
        <v>490.06753000000003</v>
      </c>
    </row>
    <row r="110" spans="1:15" ht="25.4" customHeight="1">
      <c r="A110" s="416" t="s">
        <v>638</v>
      </c>
      <c r="B110" s="328">
        <v>81</v>
      </c>
      <c r="C110" s="329">
        <v>109</v>
      </c>
      <c r="D110" s="330">
        <v>814000</v>
      </c>
      <c r="E110" s="372" t="s">
        <v>2026</v>
      </c>
      <c r="F110" s="373">
        <f t="shared" si="1"/>
        <v>0</v>
      </c>
      <c r="G110" s="374">
        <v>0</v>
      </c>
      <c r="H110" s="375">
        <v>0</v>
      </c>
      <c r="I110" s="327">
        <v>0.75341666666666651</v>
      </c>
      <c r="J110" s="331" t="s">
        <v>669</v>
      </c>
      <c r="K110" s="332">
        <v>260</v>
      </c>
      <c r="L110" s="333">
        <v>260</v>
      </c>
      <c r="M110" s="333">
        <v>260</v>
      </c>
      <c r="N110" s="333">
        <v>260</v>
      </c>
      <c r="O110" s="334">
        <v>130.07785000000001</v>
      </c>
    </row>
    <row r="111" spans="1:15" ht="25.4" customHeight="1">
      <c r="A111" s="416" t="s">
        <v>638</v>
      </c>
      <c r="B111" s="328">
        <v>81</v>
      </c>
      <c r="C111" s="329">
        <v>110</v>
      </c>
      <c r="D111" s="330">
        <v>814000</v>
      </c>
      <c r="E111" s="372" t="s">
        <v>1736</v>
      </c>
      <c r="F111" s="373">
        <f t="shared" si="1"/>
        <v>0</v>
      </c>
      <c r="G111" s="374">
        <v>1.92</v>
      </c>
      <c r="H111" s="375">
        <v>1.92</v>
      </c>
      <c r="I111" s="327">
        <v>0</v>
      </c>
      <c r="J111" s="331" t="s">
        <v>669</v>
      </c>
      <c r="K111" s="332">
        <v>230</v>
      </c>
      <c r="L111" s="333">
        <v>230</v>
      </c>
      <c r="M111" s="333">
        <v>230</v>
      </c>
      <c r="N111" s="333">
        <v>230</v>
      </c>
      <c r="O111" s="334">
        <v>187.47300000000001</v>
      </c>
    </row>
    <row r="112" spans="1:15" ht="25.4" customHeight="1">
      <c r="A112" s="416" t="s">
        <v>1673</v>
      </c>
      <c r="B112" s="328">
        <v>81</v>
      </c>
      <c r="C112" s="329">
        <v>100</v>
      </c>
      <c r="D112" s="330">
        <v>814001</v>
      </c>
      <c r="E112" s="372" t="s">
        <v>1210</v>
      </c>
      <c r="F112" s="373">
        <f t="shared" si="1"/>
        <v>0</v>
      </c>
      <c r="G112" s="374">
        <v>7.72</v>
      </c>
      <c r="H112" s="375">
        <v>7.72</v>
      </c>
      <c r="I112" s="327">
        <v>8.5441166666666692</v>
      </c>
      <c r="J112" s="331" t="s">
        <v>669</v>
      </c>
      <c r="K112" s="332">
        <v>1705</v>
      </c>
      <c r="L112" s="333">
        <v>1700</v>
      </c>
      <c r="M112" s="333">
        <v>1938</v>
      </c>
      <c r="N112" s="333">
        <v>1278</v>
      </c>
      <c r="O112" s="334">
        <v>1258.82989</v>
      </c>
    </row>
    <row r="113" spans="1:15" ht="25.4" customHeight="1">
      <c r="A113" s="416" t="s">
        <v>1673</v>
      </c>
      <c r="B113" s="328">
        <v>81</v>
      </c>
      <c r="C113" s="329">
        <v>101</v>
      </c>
      <c r="D113" s="330">
        <v>814001</v>
      </c>
      <c r="E113" s="376" t="s">
        <v>1237</v>
      </c>
      <c r="F113" s="373">
        <f t="shared" si="1"/>
        <v>3.5</v>
      </c>
      <c r="G113" s="374">
        <v>0</v>
      </c>
      <c r="H113" s="375">
        <v>3.5</v>
      </c>
      <c r="I113" s="327">
        <v>2.4</v>
      </c>
      <c r="J113" s="331" t="s">
        <v>669</v>
      </c>
      <c r="K113" s="332">
        <v>454</v>
      </c>
      <c r="L113" s="333">
        <v>338</v>
      </c>
      <c r="M113" s="333">
        <v>370</v>
      </c>
      <c r="N113" s="333">
        <v>370</v>
      </c>
      <c r="O113" s="334">
        <v>286.31023999999996</v>
      </c>
    </row>
    <row r="114" spans="1:15" ht="25.4" customHeight="1">
      <c r="A114" s="416" t="s">
        <v>1009</v>
      </c>
      <c r="B114" s="328">
        <v>81</v>
      </c>
      <c r="C114" s="377">
        <v>100</v>
      </c>
      <c r="D114" s="330">
        <v>814100</v>
      </c>
      <c r="E114" s="376" t="s">
        <v>848</v>
      </c>
      <c r="F114" s="373">
        <f t="shared" si="1"/>
        <v>3.5</v>
      </c>
      <c r="G114" s="374">
        <v>0</v>
      </c>
      <c r="H114" s="375">
        <v>3.5</v>
      </c>
      <c r="I114" s="327">
        <v>3.5</v>
      </c>
      <c r="J114" s="331" t="s">
        <v>669</v>
      </c>
      <c r="K114" s="332">
        <v>560</v>
      </c>
      <c r="L114" s="333">
        <v>547</v>
      </c>
      <c r="M114" s="333">
        <v>579</v>
      </c>
      <c r="N114" s="333">
        <v>579</v>
      </c>
      <c r="O114" s="334">
        <v>538.80178000000001</v>
      </c>
    </row>
    <row r="115" spans="1:15" ht="25.4" customHeight="1">
      <c r="A115" s="416" t="s">
        <v>751</v>
      </c>
      <c r="B115" s="328">
        <v>81</v>
      </c>
      <c r="C115" s="329">
        <v>101</v>
      </c>
      <c r="D115" s="330">
        <v>815200</v>
      </c>
      <c r="E115" s="372" t="s">
        <v>1229</v>
      </c>
      <c r="F115" s="373">
        <f t="shared" si="1"/>
        <v>100.09</v>
      </c>
      <c r="G115" s="374">
        <v>0</v>
      </c>
      <c r="H115" s="375">
        <v>100.09</v>
      </c>
      <c r="I115" s="327">
        <v>97.199033333333304</v>
      </c>
      <c r="J115" s="331" t="s">
        <v>669</v>
      </c>
      <c r="K115" s="332">
        <v>25936</v>
      </c>
      <c r="L115" s="333">
        <v>25270</v>
      </c>
      <c r="M115" s="333">
        <v>25570</v>
      </c>
      <c r="N115" s="333">
        <v>24940</v>
      </c>
      <c r="O115" s="334">
        <v>24276.794469999997</v>
      </c>
    </row>
    <row r="116" spans="1:15" ht="25.4" customHeight="1">
      <c r="A116" s="416" t="s">
        <v>751</v>
      </c>
      <c r="B116" s="328">
        <v>81</v>
      </c>
      <c r="C116" s="329">
        <v>102</v>
      </c>
      <c r="D116" s="330">
        <v>815200</v>
      </c>
      <c r="E116" s="372" t="s">
        <v>1231</v>
      </c>
      <c r="F116" s="373">
        <f t="shared" si="1"/>
        <v>84.63</v>
      </c>
      <c r="G116" s="374">
        <v>0</v>
      </c>
      <c r="H116" s="375">
        <v>84.63</v>
      </c>
      <c r="I116" s="327">
        <v>80.544600000000017</v>
      </c>
      <c r="J116" s="331" t="s">
        <v>669</v>
      </c>
      <c r="K116" s="332">
        <v>22715</v>
      </c>
      <c r="L116" s="333">
        <v>21530</v>
      </c>
      <c r="M116" s="333">
        <v>21532</v>
      </c>
      <c r="N116" s="333">
        <v>20902</v>
      </c>
      <c r="O116" s="334">
        <v>20073.209850000003</v>
      </c>
    </row>
    <row r="117" spans="1:15" ht="25.4" customHeight="1">
      <c r="A117" s="416" t="s">
        <v>751</v>
      </c>
      <c r="B117" s="328">
        <v>81</v>
      </c>
      <c r="C117" s="329">
        <v>103</v>
      </c>
      <c r="D117" s="330">
        <v>815200</v>
      </c>
      <c r="E117" s="378" t="s">
        <v>1232</v>
      </c>
      <c r="F117" s="373">
        <f t="shared" si="1"/>
        <v>71.5</v>
      </c>
      <c r="G117" s="374">
        <v>0</v>
      </c>
      <c r="H117" s="375">
        <v>71.5</v>
      </c>
      <c r="I117" s="327">
        <v>67.566333333333347</v>
      </c>
      <c r="J117" s="331" t="s">
        <v>669</v>
      </c>
      <c r="K117" s="332">
        <v>18407</v>
      </c>
      <c r="L117" s="333">
        <v>17855</v>
      </c>
      <c r="M117" s="333">
        <v>17908</v>
      </c>
      <c r="N117" s="333">
        <v>17338</v>
      </c>
      <c r="O117" s="334">
        <v>16864.267010000003</v>
      </c>
    </row>
    <row r="118" spans="1:15" ht="25.4" customHeight="1">
      <c r="A118" s="416" t="s">
        <v>751</v>
      </c>
      <c r="B118" s="328">
        <v>81</v>
      </c>
      <c r="C118" s="329">
        <v>105</v>
      </c>
      <c r="D118" s="330">
        <v>815200</v>
      </c>
      <c r="E118" s="372" t="s">
        <v>1021</v>
      </c>
      <c r="F118" s="373">
        <f t="shared" si="1"/>
        <v>0.33</v>
      </c>
      <c r="G118" s="374">
        <v>0</v>
      </c>
      <c r="H118" s="375">
        <v>0.33</v>
      </c>
      <c r="I118" s="327">
        <v>0</v>
      </c>
      <c r="J118" s="331" t="s">
        <v>669</v>
      </c>
      <c r="K118" s="332">
        <v>9</v>
      </c>
      <c r="L118" s="333">
        <v>9</v>
      </c>
      <c r="M118" s="333">
        <v>9</v>
      </c>
      <c r="N118" s="333">
        <v>9</v>
      </c>
      <c r="O118" s="334">
        <v>6.3716200000000001</v>
      </c>
    </row>
    <row r="119" spans="1:15" ht="25.4" customHeight="1">
      <c r="A119" s="416" t="s">
        <v>751</v>
      </c>
      <c r="B119" s="328">
        <v>81</v>
      </c>
      <c r="C119" s="329">
        <v>107</v>
      </c>
      <c r="D119" s="330">
        <v>815200</v>
      </c>
      <c r="E119" s="372" t="s">
        <v>1699</v>
      </c>
      <c r="F119" s="373">
        <f t="shared" si="1"/>
        <v>0</v>
      </c>
      <c r="G119" s="374">
        <v>3</v>
      </c>
      <c r="H119" s="375">
        <v>3</v>
      </c>
      <c r="I119" s="327">
        <v>3.3819499999999998</v>
      </c>
      <c r="J119" s="331" t="s">
        <v>669</v>
      </c>
      <c r="K119" s="332">
        <v>421</v>
      </c>
      <c r="L119" s="333">
        <v>398</v>
      </c>
      <c r="M119" s="333">
        <v>394</v>
      </c>
      <c r="N119" s="333">
        <v>394</v>
      </c>
      <c r="O119" s="334">
        <v>395.70035999999999</v>
      </c>
    </row>
    <row r="120" spans="1:15" ht="25.4" customHeight="1">
      <c r="A120" s="416" t="s">
        <v>751</v>
      </c>
      <c r="B120" s="328">
        <v>81</v>
      </c>
      <c r="C120" s="329">
        <v>109</v>
      </c>
      <c r="D120" s="330">
        <v>815200</v>
      </c>
      <c r="E120" s="372" t="s">
        <v>2028</v>
      </c>
      <c r="F120" s="373">
        <f t="shared" si="1"/>
        <v>0</v>
      </c>
      <c r="G120" s="374">
        <v>0</v>
      </c>
      <c r="H120" s="375">
        <v>0</v>
      </c>
      <c r="I120" s="327">
        <v>1.2847333333333333</v>
      </c>
      <c r="J120" s="331" t="s">
        <v>669</v>
      </c>
      <c r="K120" s="332">
        <v>300</v>
      </c>
      <c r="L120" s="333">
        <v>300</v>
      </c>
      <c r="M120" s="333">
        <v>300</v>
      </c>
      <c r="N120" s="333">
        <v>300</v>
      </c>
      <c r="O120" s="334">
        <v>159.48560999999998</v>
      </c>
    </row>
    <row r="121" spans="1:15" ht="25.4" customHeight="1">
      <c r="A121" s="416" t="s">
        <v>751</v>
      </c>
      <c r="B121" s="328">
        <v>81</v>
      </c>
      <c r="C121" s="329">
        <v>110</v>
      </c>
      <c r="D121" s="330">
        <v>815200</v>
      </c>
      <c r="E121" s="379" t="s">
        <v>1874</v>
      </c>
      <c r="F121" s="373">
        <f t="shared" si="1"/>
        <v>1.53</v>
      </c>
      <c r="G121" s="374">
        <v>0</v>
      </c>
      <c r="H121" s="375">
        <v>1.53</v>
      </c>
      <c r="I121" s="327">
        <v>1.51</v>
      </c>
      <c r="J121" s="331" t="s">
        <v>669</v>
      </c>
      <c r="K121" s="332">
        <v>436</v>
      </c>
      <c r="L121" s="333">
        <v>425</v>
      </c>
      <c r="M121" s="333">
        <v>393</v>
      </c>
      <c r="N121" s="333">
        <v>393</v>
      </c>
      <c r="O121" s="334">
        <v>394.29091</v>
      </c>
    </row>
    <row r="122" spans="1:15" ht="25.4" customHeight="1">
      <c r="A122" s="417" t="s">
        <v>751</v>
      </c>
      <c r="B122" s="328">
        <v>81</v>
      </c>
      <c r="C122" s="329">
        <v>111</v>
      </c>
      <c r="D122" s="330">
        <v>815200</v>
      </c>
      <c r="E122" s="372" t="s">
        <v>1230</v>
      </c>
      <c r="F122" s="373">
        <f t="shared" si="1"/>
        <v>19.399999999999999</v>
      </c>
      <c r="G122" s="374">
        <v>0</v>
      </c>
      <c r="H122" s="375">
        <v>19.399999999999999</v>
      </c>
      <c r="I122" s="327">
        <v>16.7974</v>
      </c>
      <c r="J122" s="331" t="s">
        <v>669</v>
      </c>
      <c r="K122" s="332">
        <v>2936</v>
      </c>
      <c r="L122" s="333">
        <v>2612</v>
      </c>
      <c r="M122" s="333">
        <v>3055</v>
      </c>
      <c r="N122" s="333">
        <v>3055</v>
      </c>
      <c r="O122" s="334">
        <v>2459.3668600000001</v>
      </c>
    </row>
    <row r="123" spans="1:15" ht="25.4" customHeight="1">
      <c r="A123" s="417" t="s">
        <v>751</v>
      </c>
      <c r="B123" s="328">
        <v>81</v>
      </c>
      <c r="C123" s="329">
        <v>112</v>
      </c>
      <c r="D123" s="330">
        <v>815200</v>
      </c>
      <c r="E123" s="372" t="s">
        <v>1233</v>
      </c>
      <c r="F123" s="373">
        <f t="shared" si="1"/>
        <v>16.579999999999998</v>
      </c>
      <c r="G123" s="374">
        <v>0</v>
      </c>
      <c r="H123" s="375">
        <v>16.579999999999998</v>
      </c>
      <c r="I123" s="327">
        <v>12.860799999999999</v>
      </c>
      <c r="J123" s="331" t="s">
        <v>669</v>
      </c>
      <c r="K123" s="332">
        <v>2830</v>
      </c>
      <c r="L123" s="333">
        <v>2190</v>
      </c>
      <c r="M123" s="333">
        <v>2523</v>
      </c>
      <c r="N123" s="333">
        <v>2523</v>
      </c>
      <c r="O123" s="334">
        <v>2023.2729099999999</v>
      </c>
    </row>
    <row r="124" spans="1:15" ht="25.4" customHeight="1">
      <c r="A124" s="416" t="s">
        <v>751</v>
      </c>
      <c r="B124" s="328">
        <v>81</v>
      </c>
      <c r="C124" s="329">
        <v>113</v>
      </c>
      <c r="D124" s="330">
        <v>815200</v>
      </c>
      <c r="E124" s="372" t="s">
        <v>1234</v>
      </c>
      <c r="F124" s="373">
        <f t="shared" si="1"/>
        <v>14</v>
      </c>
      <c r="G124" s="374">
        <v>0</v>
      </c>
      <c r="H124" s="375">
        <v>14</v>
      </c>
      <c r="I124" s="326">
        <v>10.9</v>
      </c>
      <c r="J124" s="331" t="s">
        <v>669</v>
      </c>
      <c r="K124" s="332">
        <v>2487</v>
      </c>
      <c r="L124" s="333">
        <v>1873</v>
      </c>
      <c r="M124" s="333">
        <v>2020</v>
      </c>
      <c r="N124" s="333">
        <v>2020</v>
      </c>
      <c r="O124" s="334">
        <v>1745.68307</v>
      </c>
    </row>
    <row r="125" spans="1:15" ht="25.4" customHeight="1">
      <c r="A125" s="416" t="s">
        <v>627</v>
      </c>
      <c r="B125" s="328">
        <v>81</v>
      </c>
      <c r="C125" s="329">
        <v>100</v>
      </c>
      <c r="D125" s="330">
        <v>815210</v>
      </c>
      <c r="E125" s="372" t="s">
        <v>805</v>
      </c>
      <c r="F125" s="373">
        <f t="shared" si="1"/>
        <v>37.75</v>
      </c>
      <c r="G125" s="374">
        <v>0</v>
      </c>
      <c r="H125" s="375">
        <v>37.75</v>
      </c>
      <c r="I125" s="326">
        <v>39.013233333333332</v>
      </c>
      <c r="J125" s="331" t="s">
        <v>669</v>
      </c>
      <c r="K125" s="332">
        <v>10426</v>
      </c>
      <c r="L125" s="333">
        <v>10390</v>
      </c>
      <c r="M125" s="333">
        <v>10124</v>
      </c>
      <c r="N125" s="333">
        <v>10124</v>
      </c>
      <c r="O125" s="334">
        <v>9893.1925800000008</v>
      </c>
    </row>
    <row r="126" spans="1:15" ht="25.4" customHeight="1">
      <c r="A126" s="416" t="s">
        <v>627</v>
      </c>
      <c r="B126" s="328">
        <v>81</v>
      </c>
      <c r="C126" s="329">
        <v>104</v>
      </c>
      <c r="D126" s="330">
        <v>815210</v>
      </c>
      <c r="E126" s="372" t="s">
        <v>806</v>
      </c>
      <c r="F126" s="373">
        <f t="shared" si="1"/>
        <v>8.3000000000000007</v>
      </c>
      <c r="G126" s="374">
        <v>0</v>
      </c>
      <c r="H126" s="375">
        <v>8.3000000000000007</v>
      </c>
      <c r="I126" s="326">
        <v>6.5010833333333338</v>
      </c>
      <c r="J126" s="331" t="s">
        <v>669</v>
      </c>
      <c r="K126" s="332">
        <v>1278</v>
      </c>
      <c r="L126" s="333">
        <v>954</v>
      </c>
      <c r="M126" s="333">
        <v>1015</v>
      </c>
      <c r="N126" s="333">
        <v>1015</v>
      </c>
      <c r="O126" s="334">
        <v>941.57281999999998</v>
      </c>
    </row>
    <row r="127" spans="1:15" ht="25.4" customHeight="1">
      <c r="A127" s="416" t="s">
        <v>1024</v>
      </c>
      <c r="B127" s="328">
        <v>81</v>
      </c>
      <c r="C127" s="329">
        <v>100</v>
      </c>
      <c r="D127" s="330">
        <v>815900</v>
      </c>
      <c r="E127" s="372" t="s">
        <v>1025</v>
      </c>
      <c r="F127" s="373">
        <f t="shared" si="1"/>
        <v>22.5</v>
      </c>
      <c r="G127" s="374">
        <v>0</v>
      </c>
      <c r="H127" s="375">
        <v>22.5</v>
      </c>
      <c r="I127" s="327">
        <v>23.269349999999999</v>
      </c>
      <c r="J127" s="331" t="s">
        <v>669</v>
      </c>
      <c r="K127" s="332">
        <v>4519</v>
      </c>
      <c r="L127" s="333">
        <v>4900</v>
      </c>
      <c r="M127" s="333">
        <v>4595</v>
      </c>
      <c r="N127" s="333">
        <v>4285</v>
      </c>
      <c r="O127" s="334">
        <v>4249.2258499999998</v>
      </c>
    </row>
    <row r="128" spans="1:15" ht="25.4" customHeight="1">
      <c r="A128" s="416" t="s">
        <v>1024</v>
      </c>
      <c r="B128" s="328">
        <v>81</v>
      </c>
      <c r="C128" s="329">
        <v>101</v>
      </c>
      <c r="D128" s="330">
        <v>815900</v>
      </c>
      <c r="E128" s="372" t="s">
        <v>316</v>
      </c>
      <c r="F128" s="373">
        <f t="shared" si="1"/>
        <v>5.13</v>
      </c>
      <c r="G128" s="374">
        <v>0</v>
      </c>
      <c r="H128" s="375">
        <v>5.13</v>
      </c>
      <c r="I128" s="327">
        <v>4</v>
      </c>
      <c r="J128" s="331" t="s">
        <v>669</v>
      </c>
      <c r="K128" s="332">
        <v>817</v>
      </c>
      <c r="L128" s="333">
        <v>638</v>
      </c>
      <c r="M128" s="333">
        <v>713</v>
      </c>
      <c r="N128" s="333">
        <v>713</v>
      </c>
      <c r="O128" s="334">
        <v>615.51571000000001</v>
      </c>
    </row>
    <row r="129" spans="1:15" ht="25.4" customHeight="1">
      <c r="A129" s="416" t="s">
        <v>1024</v>
      </c>
      <c r="B129" s="328">
        <v>81</v>
      </c>
      <c r="C129" s="329">
        <v>102</v>
      </c>
      <c r="D129" s="330">
        <v>815900</v>
      </c>
      <c r="E129" s="372" t="s">
        <v>1413</v>
      </c>
      <c r="F129" s="373">
        <f t="shared" si="1"/>
        <v>0</v>
      </c>
      <c r="G129" s="374">
        <v>6</v>
      </c>
      <c r="H129" s="375">
        <v>6</v>
      </c>
      <c r="I129" s="327">
        <v>5.3854833333333332</v>
      </c>
      <c r="J129" s="331" t="s">
        <v>669</v>
      </c>
      <c r="K129" s="332">
        <v>560</v>
      </c>
      <c r="L129" s="333">
        <v>560</v>
      </c>
      <c r="M129" s="333">
        <v>560</v>
      </c>
      <c r="N129" s="333">
        <v>560</v>
      </c>
      <c r="O129" s="334">
        <v>469.82446000000004</v>
      </c>
    </row>
    <row r="130" spans="1:15" ht="25.4" customHeight="1">
      <c r="A130" s="416" t="s">
        <v>1028</v>
      </c>
      <c r="B130" s="328">
        <v>9</v>
      </c>
      <c r="C130" s="329">
        <v>100</v>
      </c>
      <c r="D130" s="330">
        <v>817100</v>
      </c>
      <c r="E130" s="380" t="s">
        <v>1029</v>
      </c>
      <c r="F130" s="373">
        <f t="shared" si="1"/>
        <v>3</v>
      </c>
      <c r="G130" s="374">
        <v>0</v>
      </c>
      <c r="H130" s="375">
        <v>3</v>
      </c>
      <c r="I130" s="326">
        <v>3</v>
      </c>
      <c r="J130" s="331" t="s">
        <v>669</v>
      </c>
      <c r="K130" s="332">
        <v>596</v>
      </c>
      <c r="L130" s="333">
        <v>582</v>
      </c>
      <c r="M130" s="333">
        <v>604</v>
      </c>
      <c r="N130" s="333">
        <v>604</v>
      </c>
      <c r="O130" s="334">
        <v>380.93316999999996</v>
      </c>
    </row>
    <row r="131" spans="1:15" ht="25.4" customHeight="1">
      <c r="A131" s="416" t="s">
        <v>505</v>
      </c>
      <c r="B131" s="328">
        <v>81</v>
      </c>
      <c r="C131" s="329">
        <v>100</v>
      </c>
      <c r="D131" s="330">
        <v>817200</v>
      </c>
      <c r="E131" s="372" t="s">
        <v>848</v>
      </c>
      <c r="F131" s="373">
        <f t="shared" si="1"/>
        <v>2.95</v>
      </c>
      <c r="G131" s="374">
        <v>0</v>
      </c>
      <c r="H131" s="375">
        <v>2.95</v>
      </c>
      <c r="I131" s="327">
        <v>2.9424000000000001</v>
      </c>
      <c r="J131" s="331" t="s">
        <v>669</v>
      </c>
      <c r="K131" s="332">
        <v>598</v>
      </c>
      <c r="L131" s="333">
        <v>585</v>
      </c>
      <c r="M131" s="333">
        <v>586</v>
      </c>
      <c r="N131" s="333">
        <v>586</v>
      </c>
      <c r="O131" s="334">
        <v>553.30217000000005</v>
      </c>
    </row>
    <row r="132" spans="1:15" ht="25.4" customHeight="1">
      <c r="A132" s="416" t="s">
        <v>477</v>
      </c>
      <c r="B132" s="328">
        <v>81</v>
      </c>
      <c r="C132" s="329">
        <v>100</v>
      </c>
      <c r="D132" s="330">
        <v>817210</v>
      </c>
      <c r="E132" s="372" t="s">
        <v>848</v>
      </c>
      <c r="F132" s="373">
        <f t="shared" si="1"/>
        <v>4.33</v>
      </c>
      <c r="G132" s="374">
        <v>0</v>
      </c>
      <c r="H132" s="375">
        <v>4.33</v>
      </c>
      <c r="I132" s="327">
        <v>4.9000000000000004</v>
      </c>
      <c r="J132" s="331" t="s">
        <v>669</v>
      </c>
      <c r="K132" s="332">
        <v>945</v>
      </c>
      <c r="L132" s="333">
        <v>923</v>
      </c>
      <c r="M132" s="333">
        <v>924</v>
      </c>
      <c r="N132" s="333">
        <v>924</v>
      </c>
      <c r="O132" s="334">
        <v>882.36758999999995</v>
      </c>
    </row>
    <row r="133" spans="1:15" ht="25.4" customHeight="1">
      <c r="A133" s="416" t="s">
        <v>477</v>
      </c>
      <c r="B133" s="328">
        <v>81</v>
      </c>
      <c r="C133" s="329">
        <v>101</v>
      </c>
      <c r="D133" s="330">
        <v>817210</v>
      </c>
      <c r="E133" s="372" t="s">
        <v>2204</v>
      </c>
      <c r="F133" s="373">
        <f t="shared" ref="F133:F196" si="2">H133-G133</f>
        <v>0</v>
      </c>
      <c r="G133" s="374">
        <v>2</v>
      </c>
      <c r="H133" s="375">
        <v>2</v>
      </c>
      <c r="I133" s="327">
        <v>4.3161000000000005</v>
      </c>
      <c r="J133" s="331" t="s">
        <v>669</v>
      </c>
      <c r="K133" s="332">
        <v>479</v>
      </c>
      <c r="L133" s="333">
        <v>691</v>
      </c>
      <c r="M133" s="333">
        <v>691</v>
      </c>
      <c r="N133" s="333">
        <v>341</v>
      </c>
      <c r="O133" s="334">
        <v>740.26674000000003</v>
      </c>
    </row>
    <row r="134" spans="1:15" ht="25.4" customHeight="1">
      <c r="A134" s="416" t="s">
        <v>477</v>
      </c>
      <c r="B134" s="328">
        <v>81</v>
      </c>
      <c r="C134" s="329">
        <v>102</v>
      </c>
      <c r="D134" s="330">
        <v>817210</v>
      </c>
      <c r="E134" s="372" t="s">
        <v>1614</v>
      </c>
      <c r="F134" s="373">
        <f t="shared" si="2"/>
        <v>0</v>
      </c>
      <c r="G134" s="374">
        <v>4</v>
      </c>
      <c r="H134" s="375">
        <v>3.9999999999999996</v>
      </c>
      <c r="I134" s="327">
        <v>5.2378833333333326</v>
      </c>
      <c r="J134" s="331" t="s">
        <v>669</v>
      </c>
      <c r="K134" s="332">
        <v>477</v>
      </c>
      <c r="L134" s="333">
        <v>477</v>
      </c>
      <c r="M134" s="333">
        <v>477</v>
      </c>
      <c r="N134" s="333">
        <v>477</v>
      </c>
      <c r="O134" s="334">
        <v>478.15388000000002</v>
      </c>
    </row>
    <row r="135" spans="1:15" ht="25.4" customHeight="1">
      <c r="A135" s="416" t="s">
        <v>477</v>
      </c>
      <c r="B135" s="328">
        <v>81</v>
      </c>
      <c r="C135" s="329">
        <v>103</v>
      </c>
      <c r="D135" s="330">
        <v>817210</v>
      </c>
      <c r="E135" s="372" t="s">
        <v>1616</v>
      </c>
      <c r="F135" s="373">
        <f t="shared" si="2"/>
        <v>0</v>
      </c>
      <c r="G135" s="374">
        <v>0</v>
      </c>
      <c r="H135" s="375">
        <v>0</v>
      </c>
      <c r="I135" s="327">
        <v>0</v>
      </c>
      <c r="J135" s="331" t="s">
        <v>669</v>
      </c>
      <c r="K135" s="332">
        <v>50</v>
      </c>
      <c r="L135" s="333">
        <v>50</v>
      </c>
      <c r="M135" s="333">
        <v>50</v>
      </c>
      <c r="N135" s="333">
        <v>50</v>
      </c>
      <c r="O135" s="334">
        <v>28.158000000000001</v>
      </c>
    </row>
    <row r="136" spans="1:15" ht="25.4" customHeight="1">
      <c r="A136" s="416" t="s">
        <v>477</v>
      </c>
      <c r="B136" s="381">
        <v>81</v>
      </c>
      <c r="C136" s="382">
        <v>104</v>
      </c>
      <c r="D136" s="383">
        <v>817210</v>
      </c>
      <c r="E136" s="372" t="s">
        <v>1671</v>
      </c>
      <c r="F136" s="373">
        <f t="shared" si="2"/>
        <v>0</v>
      </c>
      <c r="G136" s="374">
        <v>0.6</v>
      </c>
      <c r="H136" s="384">
        <v>0.6</v>
      </c>
      <c r="I136" s="385">
        <v>0.6</v>
      </c>
      <c r="J136" s="386" t="s">
        <v>669</v>
      </c>
      <c r="K136" s="387">
        <v>127</v>
      </c>
      <c r="L136" s="388">
        <v>127</v>
      </c>
      <c r="M136" s="388">
        <v>127</v>
      </c>
      <c r="N136" s="388">
        <v>127</v>
      </c>
      <c r="O136" s="389">
        <v>124.61201</v>
      </c>
    </row>
    <row r="137" spans="1:15" ht="25.4" customHeight="1">
      <c r="A137" s="416" t="s">
        <v>477</v>
      </c>
      <c r="B137" s="328">
        <v>81</v>
      </c>
      <c r="C137" s="329">
        <v>105</v>
      </c>
      <c r="D137" s="330">
        <v>817210</v>
      </c>
      <c r="E137" s="376" t="s">
        <v>2205</v>
      </c>
      <c r="F137" s="373">
        <f t="shared" si="2"/>
        <v>0</v>
      </c>
      <c r="G137" s="374">
        <v>3</v>
      </c>
      <c r="H137" s="375">
        <v>3</v>
      </c>
      <c r="I137" s="327">
        <v>3.4740000000000002</v>
      </c>
      <c r="J137" s="331" t="s">
        <v>669</v>
      </c>
      <c r="K137" s="332">
        <v>814</v>
      </c>
      <c r="L137" s="333">
        <v>814</v>
      </c>
      <c r="M137" s="333">
        <v>814</v>
      </c>
      <c r="N137" s="333">
        <v>814</v>
      </c>
      <c r="O137" s="334">
        <v>779.73818999999992</v>
      </c>
    </row>
    <row r="138" spans="1:15" ht="25.4" customHeight="1">
      <c r="A138" s="416" t="s">
        <v>477</v>
      </c>
      <c r="B138" s="328">
        <v>81</v>
      </c>
      <c r="C138" s="329">
        <v>107</v>
      </c>
      <c r="D138" s="330">
        <v>817210</v>
      </c>
      <c r="E138" s="376" t="s">
        <v>1699</v>
      </c>
      <c r="F138" s="373">
        <f t="shared" si="2"/>
        <v>0</v>
      </c>
      <c r="G138" s="374">
        <v>0.7</v>
      </c>
      <c r="H138" s="375">
        <v>0.7</v>
      </c>
      <c r="I138" s="327">
        <v>0</v>
      </c>
      <c r="J138" s="331" t="s">
        <v>669</v>
      </c>
      <c r="K138" s="332">
        <v>66</v>
      </c>
      <c r="L138" s="333">
        <v>100</v>
      </c>
      <c r="M138" s="333">
        <v>100</v>
      </c>
      <c r="N138" s="333">
        <v>67</v>
      </c>
      <c r="O138" s="334">
        <v>101.65900000000001</v>
      </c>
    </row>
    <row r="139" spans="1:15" ht="25.4" customHeight="1">
      <c r="A139" s="416" t="s">
        <v>549</v>
      </c>
      <c r="B139" s="328">
        <v>81</v>
      </c>
      <c r="C139" s="329">
        <v>100</v>
      </c>
      <c r="D139" s="330">
        <v>817300</v>
      </c>
      <c r="E139" s="372" t="s">
        <v>250</v>
      </c>
      <c r="F139" s="373">
        <f t="shared" si="2"/>
        <v>26.32</v>
      </c>
      <c r="G139" s="374">
        <v>0</v>
      </c>
      <c r="H139" s="375">
        <v>26.32</v>
      </c>
      <c r="I139" s="326">
        <v>23.157766666666667</v>
      </c>
      <c r="J139" s="331" t="s">
        <v>669</v>
      </c>
      <c r="K139" s="332">
        <v>5091</v>
      </c>
      <c r="L139" s="333">
        <v>4676</v>
      </c>
      <c r="M139" s="333">
        <v>5004</v>
      </c>
      <c r="N139" s="333">
        <v>5059</v>
      </c>
      <c r="O139" s="334">
        <v>4763.4628000000002</v>
      </c>
    </row>
    <row r="140" spans="1:15" ht="25.4" customHeight="1">
      <c r="A140" s="416" t="s">
        <v>549</v>
      </c>
      <c r="B140" s="328">
        <v>81</v>
      </c>
      <c r="C140" s="329">
        <v>102</v>
      </c>
      <c r="D140" s="330">
        <v>817300</v>
      </c>
      <c r="E140" s="372" t="s">
        <v>251</v>
      </c>
      <c r="F140" s="373">
        <f t="shared" si="2"/>
        <v>2.61</v>
      </c>
      <c r="G140" s="374">
        <v>0</v>
      </c>
      <c r="H140" s="375">
        <v>2.61</v>
      </c>
      <c r="I140" s="326">
        <v>2.6120000000000001</v>
      </c>
      <c r="J140" s="331" t="s">
        <v>669</v>
      </c>
      <c r="K140" s="332">
        <v>366</v>
      </c>
      <c r="L140" s="333">
        <v>350</v>
      </c>
      <c r="M140" s="333">
        <v>357</v>
      </c>
      <c r="N140" s="333">
        <v>357</v>
      </c>
      <c r="O140" s="334">
        <v>337.30444</v>
      </c>
    </row>
    <row r="141" spans="1:15" ht="39">
      <c r="A141" s="416" t="s">
        <v>549</v>
      </c>
      <c r="B141" s="328">
        <v>81</v>
      </c>
      <c r="C141" s="329">
        <v>104</v>
      </c>
      <c r="D141" s="330">
        <v>817300</v>
      </c>
      <c r="E141" s="372" t="s">
        <v>2005</v>
      </c>
      <c r="F141" s="373">
        <f t="shared" si="2"/>
        <v>0</v>
      </c>
      <c r="G141" s="374">
        <v>0.83</v>
      </c>
      <c r="H141" s="375">
        <v>0.83</v>
      </c>
      <c r="I141" s="326">
        <v>0</v>
      </c>
      <c r="J141" s="331" t="s">
        <v>669</v>
      </c>
      <c r="K141" s="332">
        <v>100</v>
      </c>
      <c r="L141" s="333">
        <v>100</v>
      </c>
      <c r="M141" s="333">
        <v>100</v>
      </c>
      <c r="N141" s="333">
        <v>100</v>
      </c>
      <c r="O141" s="334">
        <v>130.4195</v>
      </c>
    </row>
    <row r="142" spans="1:15" ht="25.4" customHeight="1">
      <c r="A142" s="416" t="s">
        <v>549</v>
      </c>
      <c r="B142" s="328">
        <v>81</v>
      </c>
      <c r="C142" s="329">
        <v>107</v>
      </c>
      <c r="D142" s="330">
        <v>817300</v>
      </c>
      <c r="E142" s="372" t="s">
        <v>1699</v>
      </c>
      <c r="F142" s="373">
        <f t="shared" si="2"/>
        <v>0</v>
      </c>
      <c r="G142" s="374">
        <v>0.35</v>
      </c>
      <c r="H142" s="375">
        <v>0.35</v>
      </c>
      <c r="I142" s="326">
        <v>0</v>
      </c>
      <c r="J142" s="331" t="s">
        <v>669</v>
      </c>
      <c r="K142" s="332">
        <v>71</v>
      </c>
      <c r="L142" s="333">
        <v>109</v>
      </c>
      <c r="M142" s="333">
        <v>109</v>
      </c>
      <c r="N142" s="333">
        <v>71</v>
      </c>
      <c r="O142" s="334">
        <v>75.900630000000007</v>
      </c>
    </row>
    <row r="143" spans="1:15" ht="25.4" customHeight="1">
      <c r="A143" s="416" t="s">
        <v>549</v>
      </c>
      <c r="B143" s="328">
        <v>81</v>
      </c>
      <c r="C143" s="329">
        <v>220</v>
      </c>
      <c r="D143" s="330">
        <v>817300</v>
      </c>
      <c r="E143" s="372" t="s">
        <v>1204</v>
      </c>
      <c r="F143" s="373">
        <f t="shared" si="2"/>
        <v>0</v>
      </c>
      <c r="G143" s="374">
        <v>0</v>
      </c>
      <c r="H143" s="375">
        <v>0</v>
      </c>
      <c r="I143" s="326">
        <v>0</v>
      </c>
      <c r="J143" s="331" t="s">
        <v>669</v>
      </c>
      <c r="K143" s="332">
        <v>120</v>
      </c>
      <c r="L143" s="333">
        <v>60</v>
      </c>
      <c r="M143" s="333">
        <v>120</v>
      </c>
      <c r="N143" s="333">
        <v>120</v>
      </c>
      <c r="O143" s="334">
        <v>109.67703999999999</v>
      </c>
    </row>
    <row r="144" spans="1:15" ht="25.4" customHeight="1">
      <c r="A144" s="416" t="s">
        <v>549</v>
      </c>
      <c r="B144" s="328">
        <v>81</v>
      </c>
      <c r="C144" s="329">
        <v>221</v>
      </c>
      <c r="D144" s="330">
        <v>817300</v>
      </c>
      <c r="E144" s="380" t="s">
        <v>1617</v>
      </c>
      <c r="F144" s="373">
        <f t="shared" si="2"/>
        <v>0</v>
      </c>
      <c r="G144" s="374">
        <v>0</v>
      </c>
      <c r="H144" s="375">
        <v>0</v>
      </c>
      <c r="I144" s="326">
        <v>0</v>
      </c>
      <c r="J144" s="331" t="s">
        <v>669</v>
      </c>
      <c r="K144" s="332">
        <v>125</v>
      </c>
      <c r="L144" s="333">
        <v>125</v>
      </c>
      <c r="M144" s="333">
        <v>125</v>
      </c>
      <c r="N144" s="333">
        <v>125</v>
      </c>
      <c r="O144" s="334">
        <v>127.32633</v>
      </c>
    </row>
    <row r="145" spans="1:15" ht="25.4" customHeight="1">
      <c r="A145" s="416" t="s">
        <v>401</v>
      </c>
      <c r="B145" s="328">
        <v>81</v>
      </c>
      <c r="C145" s="329">
        <v>100</v>
      </c>
      <c r="D145" s="330">
        <v>817700</v>
      </c>
      <c r="E145" s="372" t="s">
        <v>848</v>
      </c>
      <c r="F145" s="373">
        <f t="shared" si="2"/>
        <v>4</v>
      </c>
      <c r="G145" s="374">
        <v>0</v>
      </c>
      <c r="H145" s="390">
        <v>4</v>
      </c>
      <c r="I145" s="326">
        <v>4</v>
      </c>
      <c r="J145" s="331" t="s">
        <v>669</v>
      </c>
      <c r="K145" s="332">
        <v>865</v>
      </c>
      <c r="L145" s="333">
        <v>845</v>
      </c>
      <c r="M145" s="333">
        <v>845</v>
      </c>
      <c r="N145" s="333">
        <v>845</v>
      </c>
      <c r="O145" s="334">
        <v>788.88715999999999</v>
      </c>
    </row>
    <row r="146" spans="1:15" ht="25.4" customHeight="1">
      <c r="A146" s="416" t="s">
        <v>1110</v>
      </c>
      <c r="B146" s="328">
        <v>81</v>
      </c>
      <c r="C146" s="329">
        <v>100</v>
      </c>
      <c r="D146" s="330">
        <v>817800</v>
      </c>
      <c r="E146" s="372" t="s">
        <v>1635</v>
      </c>
      <c r="F146" s="373">
        <f t="shared" si="2"/>
        <v>5.05</v>
      </c>
      <c r="G146" s="374">
        <v>0</v>
      </c>
      <c r="H146" s="390">
        <v>5.05</v>
      </c>
      <c r="I146" s="391">
        <v>3.0436333333333341</v>
      </c>
      <c r="J146" s="331" t="s">
        <v>669</v>
      </c>
      <c r="K146" s="332">
        <v>412</v>
      </c>
      <c r="L146" s="333">
        <v>356</v>
      </c>
      <c r="M146" s="333">
        <v>437</v>
      </c>
      <c r="N146" s="333">
        <v>437</v>
      </c>
      <c r="O146" s="334">
        <v>293.31871999999998</v>
      </c>
    </row>
    <row r="147" spans="1:15" ht="25.4" customHeight="1">
      <c r="A147" s="416" t="s">
        <v>461</v>
      </c>
      <c r="B147" s="328">
        <v>81</v>
      </c>
      <c r="C147" s="329">
        <v>100</v>
      </c>
      <c r="D147" s="330">
        <v>817900</v>
      </c>
      <c r="E147" s="372" t="s">
        <v>847</v>
      </c>
      <c r="F147" s="373">
        <f t="shared" si="2"/>
        <v>16</v>
      </c>
      <c r="G147" s="374">
        <v>0</v>
      </c>
      <c r="H147" s="375">
        <v>16</v>
      </c>
      <c r="I147" s="327">
        <v>13.000233333333336</v>
      </c>
      <c r="J147" s="331" t="s">
        <v>669</v>
      </c>
      <c r="K147" s="332">
        <v>1234</v>
      </c>
      <c r="L147" s="333">
        <v>1134</v>
      </c>
      <c r="M147" s="333">
        <v>1234</v>
      </c>
      <c r="N147" s="333">
        <v>1234</v>
      </c>
      <c r="O147" s="334">
        <v>1222.7440100000001</v>
      </c>
    </row>
    <row r="148" spans="1:15" ht="25.4" customHeight="1">
      <c r="A148" s="416" t="s">
        <v>461</v>
      </c>
      <c r="B148" s="328">
        <v>81</v>
      </c>
      <c r="C148" s="329">
        <v>101</v>
      </c>
      <c r="D148" s="330">
        <v>817900</v>
      </c>
      <c r="E148" s="372" t="s">
        <v>1051</v>
      </c>
      <c r="F148" s="373">
        <f t="shared" si="2"/>
        <v>0</v>
      </c>
      <c r="G148" s="374">
        <v>2</v>
      </c>
      <c r="H148" s="375">
        <v>2</v>
      </c>
      <c r="I148" s="327">
        <v>1.1493</v>
      </c>
      <c r="J148" s="331" t="s">
        <v>669</v>
      </c>
      <c r="K148" s="332">
        <v>147</v>
      </c>
      <c r="L148" s="333">
        <v>117</v>
      </c>
      <c r="M148" s="333">
        <v>147</v>
      </c>
      <c r="N148" s="333">
        <v>147</v>
      </c>
      <c r="O148" s="334">
        <v>137.74223000000001</v>
      </c>
    </row>
    <row r="149" spans="1:15" ht="25.4" customHeight="1">
      <c r="A149" s="416" t="s">
        <v>461</v>
      </c>
      <c r="B149" s="328">
        <v>81</v>
      </c>
      <c r="C149" s="329">
        <v>102</v>
      </c>
      <c r="D149" s="330">
        <v>817900</v>
      </c>
      <c r="E149" s="372" t="s">
        <v>881</v>
      </c>
      <c r="F149" s="373">
        <f t="shared" si="2"/>
        <v>2.4699999999999998</v>
      </c>
      <c r="G149" s="374">
        <v>0</v>
      </c>
      <c r="H149" s="375">
        <v>2.4699999999999998</v>
      </c>
      <c r="I149" s="327">
        <v>2.4700000000000002</v>
      </c>
      <c r="J149" s="331" t="s">
        <v>669</v>
      </c>
      <c r="K149" s="332">
        <v>594</v>
      </c>
      <c r="L149" s="333">
        <v>581</v>
      </c>
      <c r="M149" s="333">
        <v>611</v>
      </c>
      <c r="N149" s="333">
        <v>611</v>
      </c>
      <c r="O149" s="334">
        <v>576.53694999999993</v>
      </c>
    </row>
    <row r="150" spans="1:15" ht="25.4" customHeight="1">
      <c r="A150" s="416" t="s">
        <v>461</v>
      </c>
      <c r="B150" s="328">
        <v>81</v>
      </c>
      <c r="C150" s="329">
        <v>103</v>
      </c>
      <c r="D150" s="330">
        <v>817900</v>
      </c>
      <c r="E150" s="372" t="s">
        <v>1434</v>
      </c>
      <c r="F150" s="373">
        <f t="shared" si="2"/>
        <v>1</v>
      </c>
      <c r="G150" s="374">
        <v>0</v>
      </c>
      <c r="H150" s="375">
        <v>1</v>
      </c>
      <c r="I150" s="327">
        <v>0.49998333333333334</v>
      </c>
      <c r="J150" s="331" t="s">
        <v>669</v>
      </c>
      <c r="K150" s="332">
        <v>142</v>
      </c>
      <c r="L150" s="333">
        <v>119</v>
      </c>
      <c r="M150" s="333">
        <v>145</v>
      </c>
      <c r="N150" s="333">
        <v>145</v>
      </c>
      <c r="O150" s="334">
        <v>112.00842</v>
      </c>
    </row>
    <row r="151" spans="1:15" ht="25.4" customHeight="1">
      <c r="A151" s="416" t="s">
        <v>986</v>
      </c>
      <c r="B151" s="328">
        <v>81</v>
      </c>
      <c r="C151" s="329">
        <v>100</v>
      </c>
      <c r="D151" s="330">
        <v>817920</v>
      </c>
      <c r="E151" s="376" t="s">
        <v>1313</v>
      </c>
      <c r="F151" s="373">
        <f t="shared" si="2"/>
        <v>1</v>
      </c>
      <c r="G151" s="374">
        <v>0</v>
      </c>
      <c r="H151" s="375">
        <v>1</v>
      </c>
      <c r="I151" s="327">
        <v>0.7</v>
      </c>
      <c r="J151" s="331" t="s">
        <v>669</v>
      </c>
      <c r="K151" s="332">
        <v>137</v>
      </c>
      <c r="L151" s="333">
        <v>115</v>
      </c>
      <c r="M151" s="333">
        <v>115</v>
      </c>
      <c r="N151" s="333">
        <v>89</v>
      </c>
      <c r="O151" s="334">
        <v>91.538060000000002</v>
      </c>
    </row>
    <row r="152" spans="1:15" ht="25.4" customHeight="1">
      <c r="A152" s="416" t="s">
        <v>986</v>
      </c>
      <c r="B152" s="328">
        <v>81</v>
      </c>
      <c r="C152" s="329">
        <v>101</v>
      </c>
      <c r="D152" s="330">
        <v>817920</v>
      </c>
      <c r="E152" s="376" t="s">
        <v>2074</v>
      </c>
      <c r="F152" s="373">
        <f t="shared" si="2"/>
        <v>0</v>
      </c>
      <c r="G152" s="374">
        <v>0</v>
      </c>
      <c r="H152" s="375">
        <v>0</v>
      </c>
      <c r="I152" s="327">
        <v>0</v>
      </c>
      <c r="J152" s="331" t="s">
        <v>669</v>
      </c>
      <c r="K152" s="332">
        <v>0</v>
      </c>
      <c r="L152" s="333">
        <v>0</v>
      </c>
      <c r="M152" s="333">
        <v>0</v>
      </c>
      <c r="N152" s="333">
        <v>0</v>
      </c>
      <c r="O152" s="334">
        <v>8.3574099999999998</v>
      </c>
    </row>
    <row r="153" spans="1:15" ht="25.4" customHeight="1">
      <c r="A153" s="416" t="s">
        <v>986</v>
      </c>
      <c r="B153" s="328">
        <v>81</v>
      </c>
      <c r="C153" s="329">
        <v>102</v>
      </c>
      <c r="D153" s="330">
        <v>817920</v>
      </c>
      <c r="E153" s="372" t="s">
        <v>2297</v>
      </c>
      <c r="F153" s="373">
        <f t="shared" si="2"/>
        <v>13.57</v>
      </c>
      <c r="G153" s="374">
        <v>0</v>
      </c>
      <c r="H153" s="375">
        <v>13.57</v>
      </c>
      <c r="I153" s="327">
        <v>6.7566166666666643</v>
      </c>
      <c r="J153" s="331" t="s">
        <v>669</v>
      </c>
      <c r="K153" s="332">
        <v>1527</v>
      </c>
      <c r="L153" s="333">
        <v>861</v>
      </c>
      <c r="M153" s="333">
        <v>755</v>
      </c>
      <c r="N153" s="333">
        <v>755</v>
      </c>
      <c r="O153" s="334">
        <v>613.66387999999995</v>
      </c>
    </row>
    <row r="154" spans="1:15" ht="25.4" customHeight="1">
      <c r="A154" s="416" t="s">
        <v>986</v>
      </c>
      <c r="B154" s="328">
        <v>81</v>
      </c>
      <c r="C154" s="329">
        <v>103</v>
      </c>
      <c r="D154" s="330">
        <v>817920</v>
      </c>
      <c r="E154" s="372" t="s">
        <v>2298</v>
      </c>
      <c r="F154" s="373">
        <f t="shared" si="2"/>
        <v>4</v>
      </c>
      <c r="G154" s="374">
        <v>0</v>
      </c>
      <c r="H154" s="375">
        <v>4</v>
      </c>
      <c r="I154" s="327">
        <v>4.1846666666666668</v>
      </c>
      <c r="J154" s="331" t="s">
        <v>669</v>
      </c>
      <c r="K154" s="332">
        <v>500</v>
      </c>
      <c r="L154" s="333">
        <v>443</v>
      </c>
      <c r="M154" s="333">
        <v>436</v>
      </c>
      <c r="N154" s="333">
        <v>403</v>
      </c>
      <c r="O154" s="334">
        <v>338.72327000000001</v>
      </c>
    </row>
    <row r="155" spans="1:15" ht="25.4" customHeight="1">
      <c r="A155" s="416" t="s">
        <v>986</v>
      </c>
      <c r="B155" s="328">
        <v>81</v>
      </c>
      <c r="C155" s="329">
        <v>104</v>
      </c>
      <c r="D155" s="330">
        <v>817920</v>
      </c>
      <c r="E155" s="372" t="s">
        <v>1757</v>
      </c>
      <c r="F155" s="373">
        <f t="shared" si="2"/>
        <v>5.36</v>
      </c>
      <c r="G155" s="374">
        <v>0</v>
      </c>
      <c r="H155" s="375">
        <v>5.36</v>
      </c>
      <c r="I155" s="327">
        <v>2.67055</v>
      </c>
      <c r="J155" s="331" t="s">
        <v>669</v>
      </c>
      <c r="K155" s="332">
        <v>294</v>
      </c>
      <c r="L155" s="333">
        <v>288</v>
      </c>
      <c r="M155" s="333">
        <v>310</v>
      </c>
      <c r="N155" s="333">
        <v>222</v>
      </c>
      <c r="O155" s="334">
        <v>247.83678</v>
      </c>
    </row>
    <row r="156" spans="1:15" ht="25.4" customHeight="1">
      <c r="A156" s="416" t="s">
        <v>986</v>
      </c>
      <c r="B156" s="328">
        <v>81</v>
      </c>
      <c r="C156" s="329">
        <v>105</v>
      </c>
      <c r="D156" s="330">
        <v>817920</v>
      </c>
      <c r="E156" s="372" t="s">
        <v>1758</v>
      </c>
      <c r="F156" s="373">
        <f t="shared" si="2"/>
        <v>3</v>
      </c>
      <c r="G156" s="374">
        <v>0</v>
      </c>
      <c r="H156" s="375">
        <v>3</v>
      </c>
      <c r="I156" s="327">
        <v>4.2855999999999996</v>
      </c>
      <c r="J156" s="331" t="s">
        <v>669</v>
      </c>
      <c r="K156" s="332">
        <v>498</v>
      </c>
      <c r="L156" s="333">
        <v>486</v>
      </c>
      <c r="M156" s="333">
        <v>485</v>
      </c>
      <c r="N156" s="333">
        <v>313</v>
      </c>
      <c r="O156" s="334">
        <v>261.74225999999999</v>
      </c>
    </row>
    <row r="157" spans="1:15" ht="25.4" customHeight="1">
      <c r="A157" s="416" t="s">
        <v>986</v>
      </c>
      <c r="B157" s="328">
        <v>81</v>
      </c>
      <c r="C157" s="329">
        <v>106</v>
      </c>
      <c r="D157" s="330">
        <v>817920</v>
      </c>
      <c r="E157" s="372" t="s">
        <v>2031</v>
      </c>
      <c r="F157" s="373">
        <f t="shared" si="2"/>
        <v>3.75</v>
      </c>
      <c r="G157" s="374">
        <v>0</v>
      </c>
      <c r="H157" s="375">
        <v>3.75</v>
      </c>
      <c r="I157" s="327">
        <v>3.083333333333333</v>
      </c>
      <c r="J157" s="331" t="s">
        <v>669</v>
      </c>
      <c r="K157" s="332">
        <v>585</v>
      </c>
      <c r="L157" s="333">
        <v>480</v>
      </c>
      <c r="M157" s="333">
        <v>585</v>
      </c>
      <c r="N157" s="333">
        <v>585</v>
      </c>
      <c r="O157" s="334">
        <v>511.15641999999997</v>
      </c>
    </row>
    <row r="158" spans="1:15" ht="25.4" customHeight="1">
      <c r="A158" s="416" t="s">
        <v>278</v>
      </c>
      <c r="B158" s="328">
        <v>5</v>
      </c>
      <c r="C158" s="329">
        <v>100</v>
      </c>
      <c r="D158" s="330">
        <v>817960</v>
      </c>
      <c r="E158" s="372" t="s">
        <v>1701</v>
      </c>
      <c r="F158" s="373">
        <f t="shared" si="2"/>
        <v>0</v>
      </c>
      <c r="G158" s="374">
        <v>0</v>
      </c>
      <c r="H158" s="375">
        <v>0</v>
      </c>
      <c r="I158" s="327">
        <v>0</v>
      </c>
      <c r="J158" s="331" t="s">
        <v>669</v>
      </c>
      <c r="K158" s="332">
        <v>1260</v>
      </c>
      <c r="L158" s="333">
        <v>1228</v>
      </c>
      <c r="M158" s="333">
        <v>1261</v>
      </c>
      <c r="N158" s="333">
        <v>1261</v>
      </c>
      <c r="O158" s="334">
        <v>1200.6676200000002</v>
      </c>
    </row>
    <row r="159" spans="1:15" ht="25.4" customHeight="1">
      <c r="A159" s="416" t="s">
        <v>453</v>
      </c>
      <c r="B159" s="328">
        <v>81</v>
      </c>
      <c r="C159" s="329">
        <v>100</v>
      </c>
      <c r="D159" s="330">
        <v>817970</v>
      </c>
      <c r="E159" s="372" t="s">
        <v>848</v>
      </c>
      <c r="F159" s="373">
        <f t="shared" si="2"/>
        <v>4.5</v>
      </c>
      <c r="G159" s="374">
        <v>0</v>
      </c>
      <c r="H159" s="375">
        <v>4.5</v>
      </c>
      <c r="I159" s="327">
        <v>4.5</v>
      </c>
      <c r="J159" s="331" t="s">
        <v>669</v>
      </c>
      <c r="K159" s="332">
        <v>1043</v>
      </c>
      <c r="L159" s="333">
        <v>1020</v>
      </c>
      <c r="M159" s="333">
        <v>1003</v>
      </c>
      <c r="N159" s="333">
        <v>1003</v>
      </c>
      <c r="O159" s="334">
        <v>980.45541000000003</v>
      </c>
    </row>
    <row r="160" spans="1:15" ht="25.4" customHeight="1">
      <c r="A160" s="416" t="s">
        <v>83</v>
      </c>
      <c r="B160" s="328">
        <v>82</v>
      </c>
      <c r="C160" s="329">
        <v>100</v>
      </c>
      <c r="D160" s="330">
        <v>821000</v>
      </c>
      <c r="E160" s="372" t="s">
        <v>1058</v>
      </c>
      <c r="F160" s="373">
        <f t="shared" si="2"/>
        <v>2</v>
      </c>
      <c r="G160" s="374">
        <v>0</v>
      </c>
      <c r="H160" s="375">
        <v>2</v>
      </c>
      <c r="I160" s="327">
        <v>1.5</v>
      </c>
      <c r="J160" s="331" t="s">
        <v>669</v>
      </c>
      <c r="K160" s="332">
        <v>550</v>
      </c>
      <c r="L160" s="333">
        <v>213</v>
      </c>
      <c r="M160" s="333">
        <v>213</v>
      </c>
      <c r="N160" s="333">
        <v>747</v>
      </c>
      <c r="O160" s="334">
        <v>193.88213000000002</v>
      </c>
    </row>
    <row r="161" spans="1:15" ht="25.4" customHeight="1">
      <c r="A161" s="416" t="s">
        <v>83</v>
      </c>
      <c r="B161" s="328">
        <v>82</v>
      </c>
      <c r="C161" s="329">
        <v>102</v>
      </c>
      <c r="D161" s="330">
        <v>821000</v>
      </c>
      <c r="E161" s="372" t="s">
        <v>1260</v>
      </c>
      <c r="F161" s="373">
        <f t="shared" si="2"/>
        <v>2.5</v>
      </c>
      <c r="G161" s="374">
        <v>0</v>
      </c>
      <c r="H161" s="375">
        <v>2.5</v>
      </c>
      <c r="I161" s="327">
        <v>2.5</v>
      </c>
      <c r="J161" s="331" t="s">
        <v>669</v>
      </c>
      <c r="K161" s="332">
        <v>500</v>
      </c>
      <c r="L161" s="333">
        <v>489</v>
      </c>
      <c r="M161" s="333">
        <v>489</v>
      </c>
      <c r="N161" s="333">
        <v>498</v>
      </c>
      <c r="O161" s="334">
        <v>459.93590999999998</v>
      </c>
    </row>
    <row r="162" spans="1:15" ht="25.4" customHeight="1">
      <c r="A162" s="416" t="s">
        <v>629</v>
      </c>
      <c r="B162" s="328">
        <v>82</v>
      </c>
      <c r="C162" s="329">
        <v>100</v>
      </c>
      <c r="D162" s="330">
        <v>822000</v>
      </c>
      <c r="E162" s="372" t="s">
        <v>848</v>
      </c>
      <c r="F162" s="373">
        <f t="shared" si="2"/>
        <v>4</v>
      </c>
      <c r="G162" s="374">
        <v>0</v>
      </c>
      <c r="H162" s="375">
        <v>4</v>
      </c>
      <c r="I162" s="326">
        <v>5</v>
      </c>
      <c r="J162" s="331" t="s">
        <v>669</v>
      </c>
      <c r="K162" s="332">
        <v>702</v>
      </c>
      <c r="L162" s="333">
        <v>960</v>
      </c>
      <c r="M162" s="333">
        <v>1034</v>
      </c>
      <c r="N162" s="333">
        <v>1055</v>
      </c>
      <c r="O162" s="334">
        <v>956.07902999999999</v>
      </c>
    </row>
    <row r="163" spans="1:15" ht="25.4" customHeight="1">
      <c r="A163" s="416" t="s">
        <v>31</v>
      </c>
      <c r="B163" s="328">
        <v>1</v>
      </c>
      <c r="C163" s="329">
        <v>100</v>
      </c>
      <c r="D163" s="330">
        <v>822100</v>
      </c>
      <c r="E163" s="379" t="s">
        <v>848</v>
      </c>
      <c r="F163" s="373">
        <f t="shared" si="2"/>
        <v>0</v>
      </c>
      <c r="G163" s="374">
        <v>0</v>
      </c>
      <c r="H163" s="375">
        <v>0</v>
      </c>
      <c r="I163" s="326">
        <v>0</v>
      </c>
      <c r="J163" s="331" t="s">
        <v>669</v>
      </c>
      <c r="K163" s="332">
        <v>0</v>
      </c>
      <c r="L163" s="333">
        <v>0</v>
      </c>
      <c r="M163" s="333">
        <v>0</v>
      </c>
      <c r="N163" s="333">
        <v>0</v>
      </c>
      <c r="O163" s="334">
        <v>278.10552000000001</v>
      </c>
    </row>
    <row r="164" spans="1:15" ht="25.4" customHeight="1">
      <c r="A164" s="416" t="s">
        <v>466</v>
      </c>
      <c r="B164" s="328">
        <v>82</v>
      </c>
      <c r="C164" s="329">
        <v>100</v>
      </c>
      <c r="D164" s="330">
        <v>823000</v>
      </c>
      <c r="E164" s="372" t="s">
        <v>1058</v>
      </c>
      <c r="F164" s="373">
        <f t="shared" si="2"/>
        <v>20.71</v>
      </c>
      <c r="G164" s="374">
        <v>0</v>
      </c>
      <c r="H164" s="375">
        <v>20.71</v>
      </c>
      <c r="I164" s="326">
        <v>17.833166666666667</v>
      </c>
      <c r="J164" s="331" t="s">
        <v>669</v>
      </c>
      <c r="K164" s="332">
        <v>3326</v>
      </c>
      <c r="L164" s="333">
        <v>2933</v>
      </c>
      <c r="M164" s="333">
        <v>3067</v>
      </c>
      <c r="N164" s="333">
        <v>3129</v>
      </c>
      <c r="O164" s="334">
        <v>2871.5785000000001</v>
      </c>
    </row>
    <row r="165" spans="1:15" ht="25.4" customHeight="1">
      <c r="A165" s="416" t="s">
        <v>376</v>
      </c>
      <c r="B165" s="328">
        <v>82</v>
      </c>
      <c r="C165" s="329">
        <v>100</v>
      </c>
      <c r="D165" s="330">
        <v>823100</v>
      </c>
      <c r="E165" s="376" t="s">
        <v>151</v>
      </c>
      <c r="F165" s="373">
        <f t="shared" si="2"/>
        <v>0.5</v>
      </c>
      <c r="G165" s="374">
        <v>0</v>
      </c>
      <c r="H165" s="375">
        <v>0.5</v>
      </c>
      <c r="I165" s="326">
        <v>0.5</v>
      </c>
      <c r="J165" s="331" t="s">
        <v>669</v>
      </c>
      <c r="K165" s="332">
        <v>79</v>
      </c>
      <c r="L165" s="333">
        <v>77</v>
      </c>
      <c r="M165" s="333">
        <v>79</v>
      </c>
      <c r="N165" s="333">
        <v>79</v>
      </c>
      <c r="O165" s="334">
        <v>67.948890000000006</v>
      </c>
    </row>
    <row r="166" spans="1:15" ht="25.4" customHeight="1">
      <c r="A166" s="416" t="s">
        <v>630</v>
      </c>
      <c r="B166" s="328">
        <v>82</v>
      </c>
      <c r="C166" s="329">
        <v>100</v>
      </c>
      <c r="D166" s="330">
        <v>823200</v>
      </c>
      <c r="E166" s="372" t="s">
        <v>1162</v>
      </c>
      <c r="F166" s="373">
        <f t="shared" si="2"/>
        <v>0.8</v>
      </c>
      <c r="G166" s="374">
        <v>0</v>
      </c>
      <c r="H166" s="375">
        <v>0.8</v>
      </c>
      <c r="I166" s="326">
        <v>0.8</v>
      </c>
      <c r="J166" s="331" t="s">
        <v>669</v>
      </c>
      <c r="K166" s="332">
        <v>145</v>
      </c>
      <c r="L166" s="333">
        <v>142</v>
      </c>
      <c r="M166" s="333">
        <v>164</v>
      </c>
      <c r="N166" s="333">
        <v>164</v>
      </c>
      <c r="O166" s="334">
        <v>136.74942000000001</v>
      </c>
    </row>
    <row r="167" spans="1:15" ht="25.4" customHeight="1">
      <c r="A167" s="416" t="s">
        <v>1055</v>
      </c>
      <c r="B167" s="328">
        <v>82</v>
      </c>
      <c r="C167" s="329">
        <v>100</v>
      </c>
      <c r="D167" s="330">
        <v>823400</v>
      </c>
      <c r="E167" s="372" t="s">
        <v>285</v>
      </c>
      <c r="F167" s="373">
        <f t="shared" si="2"/>
        <v>1.4</v>
      </c>
      <c r="G167" s="374">
        <v>0</v>
      </c>
      <c r="H167" s="375">
        <v>1.4</v>
      </c>
      <c r="I167" s="326">
        <v>1.4</v>
      </c>
      <c r="J167" s="331" t="s">
        <v>669</v>
      </c>
      <c r="K167" s="332">
        <v>185</v>
      </c>
      <c r="L167" s="333">
        <v>175</v>
      </c>
      <c r="M167" s="333">
        <v>235</v>
      </c>
      <c r="N167" s="333">
        <v>239</v>
      </c>
      <c r="O167" s="334">
        <v>192.78066000000001</v>
      </c>
    </row>
    <row r="168" spans="1:15" ht="25.4" customHeight="1">
      <c r="A168" s="416" t="s">
        <v>1839</v>
      </c>
      <c r="B168" s="328">
        <v>82</v>
      </c>
      <c r="C168" s="329">
        <v>100</v>
      </c>
      <c r="D168" s="330">
        <v>823500</v>
      </c>
      <c r="E168" s="372" t="s">
        <v>285</v>
      </c>
      <c r="F168" s="373">
        <f t="shared" si="2"/>
        <v>0.3</v>
      </c>
      <c r="G168" s="374">
        <v>0</v>
      </c>
      <c r="H168" s="375">
        <v>0.3</v>
      </c>
      <c r="I168" s="326">
        <v>0</v>
      </c>
      <c r="J168" s="331" t="s">
        <v>669</v>
      </c>
      <c r="K168" s="332">
        <v>75</v>
      </c>
      <c r="L168" s="333">
        <v>0</v>
      </c>
      <c r="M168" s="333">
        <v>55</v>
      </c>
      <c r="N168" s="333">
        <v>75</v>
      </c>
      <c r="O168" s="334">
        <v>0</v>
      </c>
    </row>
    <row r="169" spans="1:15" ht="25.4" customHeight="1">
      <c r="A169" s="416" t="s">
        <v>875</v>
      </c>
      <c r="B169" s="328">
        <v>82</v>
      </c>
      <c r="C169" s="329">
        <v>100</v>
      </c>
      <c r="D169" s="330">
        <v>824200</v>
      </c>
      <c r="E169" s="372" t="s">
        <v>1936</v>
      </c>
      <c r="F169" s="373">
        <f t="shared" si="2"/>
        <v>1</v>
      </c>
      <c r="G169" s="374">
        <v>0</v>
      </c>
      <c r="H169" s="375">
        <v>1</v>
      </c>
      <c r="I169" s="326">
        <v>1</v>
      </c>
      <c r="J169" s="331" t="s">
        <v>669</v>
      </c>
      <c r="K169" s="332">
        <v>147</v>
      </c>
      <c r="L169" s="333">
        <v>134</v>
      </c>
      <c r="M169" s="333">
        <v>152</v>
      </c>
      <c r="N169" s="333">
        <v>155</v>
      </c>
      <c r="O169" s="334">
        <v>0</v>
      </c>
    </row>
    <row r="170" spans="1:15" ht="25.4" customHeight="1">
      <c r="A170" s="416" t="s">
        <v>875</v>
      </c>
      <c r="B170" s="328">
        <v>82</v>
      </c>
      <c r="C170" s="329">
        <v>101</v>
      </c>
      <c r="D170" s="330">
        <v>824200</v>
      </c>
      <c r="E170" s="372" t="s">
        <v>1095</v>
      </c>
      <c r="F170" s="373">
        <f t="shared" si="2"/>
        <v>0</v>
      </c>
      <c r="G170" s="374">
        <v>0</v>
      </c>
      <c r="H170" s="375">
        <v>0</v>
      </c>
      <c r="I170" s="327">
        <v>0</v>
      </c>
      <c r="J170" s="331" t="s">
        <v>669</v>
      </c>
      <c r="K170" s="332">
        <v>0</v>
      </c>
      <c r="L170" s="333">
        <v>0</v>
      </c>
      <c r="M170" s="333">
        <v>0</v>
      </c>
      <c r="N170" s="333">
        <v>0</v>
      </c>
      <c r="O170" s="334">
        <v>22.4312</v>
      </c>
    </row>
    <row r="171" spans="1:15" ht="25.4" customHeight="1">
      <c r="A171" s="416" t="s">
        <v>878</v>
      </c>
      <c r="B171" s="328">
        <v>82</v>
      </c>
      <c r="C171" s="329">
        <v>101</v>
      </c>
      <c r="D171" s="330">
        <v>824510</v>
      </c>
      <c r="E171" s="372" t="s">
        <v>851</v>
      </c>
      <c r="F171" s="373">
        <f t="shared" si="2"/>
        <v>0.7</v>
      </c>
      <c r="G171" s="374">
        <v>0</v>
      </c>
      <c r="H171" s="375">
        <v>0.7</v>
      </c>
      <c r="I171" s="327">
        <v>1.2</v>
      </c>
      <c r="J171" s="331" t="s">
        <v>669</v>
      </c>
      <c r="K171" s="332">
        <v>130</v>
      </c>
      <c r="L171" s="333">
        <v>215</v>
      </c>
      <c r="M171" s="333">
        <v>226</v>
      </c>
      <c r="N171" s="333">
        <v>226</v>
      </c>
      <c r="O171" s="334">
        <v>205.90688</v>
      </c>
    </row>
    <row r="172" spans="1:15" ht="25.4" customHeight="1">
      <c r="A172" s="416" t="s">
        <v>223</v>
      </c>
      <c r="B172" s="328">
        <v>82</v>
      </c>
      <c r="C172" s="329">
        <v>102</v>
      </c>
      <c r="D172" s="330">
        <v>824530</v>
      </c>
      <c r="E172" s="372" t="s">
        <v>1393</v>
      </c>
      <c r="F172" s="373">
        <f t="shared" si="2"/>
        <v>1</v>
      </c>
      <c r="G172" s="374">
        <v>0</v>
      </c>
      <c r="H172" s="375">
        <v>1</v>
      </c>
      <c r="I172" s="327">
        <v>1</v>
      </c>
      <c r="J172" s="331" t="s">
        <v>669</v>
      </c>
      <c r="K172" s="332">
        <v>210</v>
      </c>
      <c r="L172" s="333">
        <v>205</v>
      </c>
      <c r="M172" s="333">
        <v>171</v>
      </c>
      <c r="N172" s="333">
        <v>171</v>
      </c>
      <c r="O172" s="334">
        <v>168.62792000000002</v>
      </c>
    </row>
    <row r="173" spans="1:15" ht="25.4" customHeight="1">
      <c r="A173" s="416" t="s">
        <v>223</v>
      </c>
      <c r="B173" s="328">
        <v>82</v>
      </c>
      <c r="C173" s="329">
        <v>103</v>
      </c>
      <c r="D173" s="330">
        <v>824530</v>
      </c>
      <c r="E173" s="372" t="s">
        <v>985</v>
      </c>
      <c r="F173" s="373">
        <f t="shared" si="2"/>
        <v>0.5</v>
      </c>
      <c r="G173" s="374">
        <v>0</v>
      </c>
      <c r="H173" s="375">
        <v>0.5</v>
      </c>
      <c r="I173" s="327">
        <v>0.5</v>
      </c>
      <c r="J173" s="331" t="s">
        <v>669</v>
      </c>
      <c r="K173" s="332">
        <v>74</v>
      </c>
      <c r="L173" s="333">
        <v>68</v>
      </c>
      <c r="M173" s="333">
        <v>74</v>
      </c>
      <c r="N173" s="333">
        <v>74</v>
      </c>
      <c r="O173" s="334">
        <v>65.47278</v>
      </c>
    </row>
    <row r="174" spans="1:15" ht="25.4" customHeight="1">
      <c r="A174" s="416" t="s">
        <v>228</v>
      </c>
      <c r="B174" s="328">
        <v>82</v>
      </c>
      <c r="C174" s="329">
        <v>100</v>
      </c>
      <c r="D174" s="330">
        <v>824570</v>
      </c>
      <c r="E174" s="372" t="s">
        <v>1308</v>
      </c>
      <c r="F174" s="373">
        <f t="shared" si="2"/>
        <v>1</v>
      </c>
      <c r="G174" s="374">
        <v>0</v>
      </c>
      <c r="H174" s="375">
        <v>1</v>
      </c>
      <c r="I174" s="327">
        <v>0.97166666666666668</v>
      </c>
      <c r="J174" s="331" t="s">
        <v>669</v>
      </c>
      <c r="K174" s="332">
        <v>123</v>
      </c>
      <c r="L174" s="333">
        <v>115</v>
      </c>
      <c r="M174" s="333">
        <v>170</v>
      </c>
      <c r="N174" s="333">
        <v>173</v>
      </c>
      <c r="O174" s="334">
        <v>151.90404000000001</v>
      </c>
    </row>
    <row r="175" spans="1:15" ht="25.4" customHeight="1">
      <c r="A175" s="416" t="s">
        <v>1077</v>
      </c>
      <c r="B175" s="328">
        <v>82</v>
      </c>
      <c r="C175" s="329">
        <v>100</v>
      </c>
      <c r="D175" s="330">
        <v>826200</v>
      </c>
      <c r="E175" s="372" t="s">
        <v>848</v>
      </c>
      <c r="F175" s="373">
        <f t="shared" si="2"/>
        <v>1</v>
      </c>
      <c r="G175" s="374">
        <v>0</v>
      </c>
      <c r="H175" s="375">
        <v>1</v>
      </c>
      <c r="I175" s="327">
        <v>1</v>
      </c>
      <c r="J175" s="331" t="s">
        <v>669</v>
      </c>
      <c r="K175" s="332">
        <v>204</v>
      </c>
      <c r="L175" s="333">
        <v>199</v>
      </c>
      <c r="M175" s="333">
        <v>199</v>
      </c>
      <c r="N175" s="333">
        <v>199</v>
      </c>
      <c r="O175" s="334">
        <v>200.30651999999998</v>
      </c>
    </row>
    <row r="176" spans="1:15" ht="25.4" customHeight="1">
      <c r="A176" s="416" t="s">
        <v>510</v>
      </c>
      <c r="B176" s="328">
        <v>82</v>
      </c>
      <c r="C176" s="329">
        <v>100</v>
      </c>
      <c r="D176" s="330">
        <v>826210</v>
      </c>
      <c r="E176" s="372" t="s">
        <v>1058</v>
      </c>
      <c r="F176" s="373">
        <f t="shared" si="2"/>
        <v>3.66</v>
      </c>
      <c r="G176" s="374">
        <v>0</v>
      </c>
      <c r="H176" s="375">
        <v>3.66</v>
      </c>
      <c r="I176" s="327">
        <v>2.2979666666666665</v>
      </c>
      <c r="J176" s="331" t="s">
        <v>669</v>
      </c>
      <c r="K176" s="332">
        <v>592</v>
      </c>
      <c r="L176" s="333">
        <v>418</v>
      </c>
      <c r="M176" s="333">
        <v>592</v>
      </c>
      <c r="N176" s="333">
        <v>604</v>
      </c>
      <c r="O176" s="334">
        <v>421.07574</v>
      </c>
    </row>
    <row r="177" spans="1:15" ht="25.4" customHeight="1">
      <c r="A177" s="416" t="s">
        <v>788</v>
      </c>
      <c r="B177" s="328">
        <v>82</v>
      </c>
      <c r="C177" s="329">
        <v>100</v>
      </c>
      <c r="D177" s="330">
        <v>827000</v>
      </c>
      <c r="E177" s="372" t="s">
        <v>28</v>
      </c>
      <c r="F177" s="373">
        <f t="shared" si="2"/>
        <v>2.5</v>
      </c>
      <c r="G177" s="374">
        <v>0</v>
      </c>
      <c r="H177" s="375">
        <v>2.5</v>
      </c>
      <c r="I177" s="327">
        <v>2.5</v>
      </c>
      <c r="J177" s="331" t="s">
        <v>669</v>
      </c>
      <c r="K177" s="332">
        <v>325</v>
      </c>
      <c r="L177" s="333">
        <v>315</v>
      </c>
      <c r="M177" s="333">
        <v>325</v>
      </c>
      <c r="N177" s="333">
        <v>325</v>
      </c>
      <c r="O177" s="334">
        <v>298.07092</v>
      </c>
    </row>
    <row r="178" spans="1:15" ht="25.4" customHeight="1">
      <c r="A178" s="416" t="s">
        <v>983</v>
      </c>
      <c r="B178" s="328">
        <v>82</v>
      </c>
      <c r="C178" s="329">
        <v>100</v>
      </c>
      <c r="D178" s="330">
        <v>828100</v>
      </c>
      <c r="E178" s="372" t="s">
        <v>984</v>
      </c>
      <c r="F178" s="373">
        <f t="shared" si="2"/>
        <v>3</v>
      </c>
      <c r="G178" s="374">
        <v>0</v>
      </c>
      <c r="H178" s="375">
        <v>3</v>
      </c>
      <c r="I178" s="327">
        <v>3</v>
      </c>
      <c r="J178" s="331" t="s">
        <v>669</v>
      </c>
      <c r="K178" s="332">
        <v>649</v>
      </c>
      <c r="L178" s="333">
        <v>905</v>
      </c>
      <c r="M178" s="333">
        <v>960</v>
      </c>
      <c r="N178" s="333">
        <v>960</v>
      </c>
      <c r="O178" s="334">
        <v>878.25747000000001</v>
      </c>
    </row>
    <row r="179" spans="1:15" ht="25.4" customHeight="1">
      <c r="A179" s="416" t="s">
        <v>983</v>
      </c>
      <c r="B179" s="328">
        <v>82</v>
      </c>
      <c r="C179" s="329">
        <v>101</v>
      </c>
      <c r="D179" s="330">
        <v>828100</v>
      </c>
      <c r="E179" s="372" t="s">
        <v>1801</v>
      </c>
      <c r="F179" s="373">
        <f t="shared" si="2"/>
        <v>3.2</v>
      </c>
      <c r="G179" s="374">
        <v>0</v>
      </c>
      <c r="H179" s="375">
        <v>3.2</v>
      </c>
      <c r="I179" s="327">
        <v>1.7166833333333331</v>
      </c>
      <c r="J179" s="331" t="s">
        <v>669</v>
      </c>
      <c r="K179" s="332">
        <v>500</v>
      </c>
      <c r="L179" s="333">
        <v>441</v>
      </c>
      <c r="M179" s="333">
        <v>1007</v>
      </c>
      <c r="N179" s="333">
        <v>1027</v>
      </c>
      <c r="O179" s="334">
        <v>334.92682000000002</v>
      </c>
    </row>
    <row r="180" spans="1:15" ht="25.4" customHeight="1">
      <c r="A180" s="416" t="s">
        <v>789</v>
      </c>
      <c r="B180" s="328">
        <v>82</v>
      </c>
      <c r="C180" s="329">
        <v>100</v>
      </c>
      <c r="D180" s="330">
        <v>828900</v>
      </c>
      <c r="E180" s="376" t="s">
        <v>1058</v>
      </c>
      <c r="F180" s="373">
        <f t="shared" si="2"/>
        <v>4</v>
      </c>
      <c r="G180" s="374">
        <v>0</v>
      </c>
      <c r="H180" s="375">
        <v>4</v>
      </c>
      <c r="I180" s="327">
        <v>4</v>
      </c>
      <c r="J180" s="331" t="s">
        <v>669</v>
      </c>
      <c r="K180" s="332">
        <v>906</v>
      </c>
      <c r="L180" s="333">
        <v>818</v>
      </c>
      <c r="M180" s="333">
        <v>818</v>
      </c>
      <c r="N180" s="333">
        <v>895</v>
      </c>
      <c r="O180" s="334">
        <v>857.70173</v>
      </c>
    </row>
    <row r="181" spans="1:15" ht="25.4" customHeight="1">
      <c r="A181" s="416" t="s">
        <v>1133</v>
      </c>
      <c r="B181" s="328">
        <v>82</v>
      </c>
      <c r="C181" s="329">
        <v>100</v>
      </c>
      <c r="D181" s="330">
        <v>829100</v>
      </c>
      <c r="E181" s="372" t="s">
        <v>1247</v>
      </c>
      <c r="F181" s="373">
        <f t="shared" si="2"/>
        <v>4.5999999999999996</v>
      </c>
      <c r="G181" s="374">
        <v>0</v>
      </c>
      <c r="H181" s="375">
        <v>4.5999999999999996</v>
      </c>
      <c r="I181" s="326">
        <v>4.5999999999999996</v>
      </c>
      <c r="J181" s="331" t="s">
        <v>669</v>
      </c>
      <c r="K181" s="332">
        <v>1335</v>
      </c>
      <c r="L181" s="333">
        <v>1283</v>
      </c>
      <c r="M181" s="333">
        <v>1350</v>
      </c>
      <c r="N181" s="333">
        <v>1377</v>
      </c>
      <c r="O181" s="334">
        <v>1254.38797</v>
      </c>
    </row>
    <row r="182" spans="1:15" ht="25.4" customHeight="1">
      <c r="A182" s="418" t="s">
        <v>1133</v>
      </c>
      <c r="B182" s="392">
        <v>82</v>
      </c>
      <c r="C182" s="393">
        <v>101</v>
      </c>
      <c r="D182" s="394">
        <v>829100</v>
      </c>
      <c r="E182" s="395" t="s">
        <v>1943</v>
      </c>
      <c r="F182" s="373">
        <f t="shared" si="2"/>
        <v>0</v>
      </c>
      <c r="G182" s="374">
        <v>0</v>
      </c>
      <c r="H182" s="396"/>
      <c r="I182" s="326"/>
      <c r="J182" s="331" t="s">
        <v>669</v>
      </c>
      <c r="K182" s="332">
        <v>30</v>
      </c>
      <c r="L182" s="333">
        <v>0</v>
      </c>
      <c r="M182" s="333">
        <v>60</v>
      </c>
      <c r="N182" s="333">
        <v>60</v>
      </c>
      <c r="O182" s="334">
        <v>0</v>
      </c>
    </row>
    <row r="183" spans="1:15" ht="25.4" customHeight="1">
      <c r="A183" s="416" t="s">
        <v>275</v>
      </c>
      <c r="B183" s="328">
        <v>82</v>
      </c>
      <c r="C183" s="329">
        <v>100</v>
      </c>
      <c r="D183" s="330">
        <v>829200</v>
      </c>
      <c r="E183" s="397" t="s">
        <v>1058</v>
      </c>
      <c r="F183" s="373">
        <f t="shared" si="2"/>
        <v>3</v>
      </c>
      <c r="G183" s="374">
        <v>0</v>
      </c>
      <c r="H183" s="375">
        <v>3</v>
      </c>
      <c r="I183" s="327">
        <v>3</v>
      </c>
      <c r="J183" s="331" t="s">
        <v>669</v>
      </c>
      <c r="K183" s="332">
        <v>581</v>
      </c>
      <c r="L183" s="333">
        <v>555</v>
      </c>
      <c r="M183" s="333">
        <v>615</v>
      </c>
      <c r="N183" s="333">
        <v>627</v>
      </c>
      <c r="O183" s="334">
        <v>594.77893000000006</v>
      </c>
    </row>
    <row r="184" spans="1:15" ht="25.4" customHeight="1">
      <c r="A184" s="416" t="s">
        <v>700</v>
      </c>
      <c r="B184" s="328">
        <v>82</v>
      </c>
      <c r="C184" s="329">
        <v>100</v>
      </c>
      <c r="D184" s="330">
        <v>829210</v>
      </c>
      <c r="E184" s="376" t="s">
        <v>701</v>
      </c>
      <c r="F184" s="373">
        <f t="shared" si="2"/>
        <v>7</v>
      </c>
      <c r="G184" s="374">
        <v>0</v>
      </c>
      <c r="H184" s="375">
        <v>7</v>
      </c>
      <c r="I184" s="327">
        <v>6.9677499999999997</v>
      </c>
      <c r="J184" s="331" t="s">
        <v>669</v>
      </c>
      <c r="K184" s="332">
        <v>1129</v>
      </c>
      <c r="L184" s="333">
        <v>1084</v>
      </c>
      <c r="M184" s="333">
        <v>1295</v>
      </c>
      <c r="N184" s="333">
        <v>1321</v>
      </c>
      <c r="O184" s="334">
        <v>1141.16229</v>
      </c>
    </row>
    <row r="185" spans="1:15" ht="25.4" customHeight="1">
      <c r="A185" s="416" t="s">
        <v>790</v>
      </c>
      <c r="B185" s="328">
        <v>82</v>
      </c>
      <c r="C185" s="329">
        <v>100</v>
      </c>
      <c r="D185" s="330">
        <v>829220</v>
      </c>
      <c r="E185" s="376" t="s">
        <v>533</v>
      </c>
      <c r="F185" s="373">
        <f t="shared" si="2"/>
        <v>1</v>
      </c>
      <c r="G185" s="374">
        <v>0</v>
      </c>
      <c r="H185" s="375">
        <v>1</v>
      </c>
      <c r="I185" s="327">
        <v>1</v>
      </c>
      <c r="J185" s="331" t="s">
        <v>669</v>
      </c>
      <c r="K185" s="332">
        <v>160</v>
      </c>
      <c r="L185" s="333">
        <v>157</v>
      </c>
      <c r="M185" s="333">
        <v>159</v>
      </c>
      <c r="N185" s="333">
        <v>159</v>
      </c>
      <c r="O185" s="334">
        <v>152.27539000000002</v>
      </c>
    </row>
    <row r="186" spans="1:15" ht="25.4" customHeight="1">
      <c r="A186" s="416" t="s">
        <v>138</v>
      </c>
      <c r="B186" s="328">
        <v>82</v>
      </c>
      <c r="C186" s="329">
        <v>100</v>
      </c>
      <c r="D186" s="330">
        <v>829230</v>
      </c>
      <c r="E186" s="376" t="s">
        <v>91</v>
      </c>
      <c r="F186" s="373">
        <f t="shared" si="2"/>
        <v>0.33000000000000007</v>
      </c>
      <c r="G186" s="374">
        <v>0</v>
      </c>
      <c r="H186" s="375">
        <v>0.33000000000000007</v>
      </c>
      <c r="I186" s="327">
        <v>0.33000000000000007</v>
      </c>
      <c r="J186" s="331" t="s">
        <v>669</v>
      </c>
      <c r="K186" s="332">
        <v>58</v>
      </c>
      <c r="L186" s="333">
        <v>57</v>
      </c>
      <c r="M186" s="333">
        <v>57</v>
      </c>
      <c r="N186" s="333">
        <v>57</v>
      </c>
      <c r="O186" s="334">
        <v>54.167790000000004</v>
      </c>
    </row>
    <row r="187" spans="1:15" ht="25.4" customHeight="1">
      <c r="A187" s="416" t="s">
        <v>2171</v>
      </c>
      <c r="B187" s="328">
        <v>82</v>
      </c>
      <c r="C187" s="329">
        <v>100</v>
      </c>
      <c r="D187" s="330">
        <v>829240</v>
      </c>
      <c r="E187" s="376" t="s">
        <v>701</v>
      </c>
      <c r="F187" s="373">
        <f t="shared" si="2"/>
        <v>21</v>
      </c>
      <c r="G187" s="374">
        <v>0</v>
      </c>
      <c r="H187" s="375">
        <v>21</v>
      </c>
      <c r="I187" s="327">
        <v>19</v>
      </c>
      <c r="J187" s="331" t="s">
        <v>669</v>
      </c>
      <c r="K187" s="332">
        <v>3094</v>
      </c>
      <c r="L187" s="333">
        <v>2957</v>
      </c>
      <c r="M187" s="333">
        <v>2973</v>
      </c>
      <c r="N187" s="333">
        <v>3019</v>
      </c>
      <c r="O187" s="334">
        <v>2868.4411500000001</v>
      </c>
    </row>
    <row r="188" spans="1:15" ht="25.4" customHeight="1">
      <c r="A188" s="416" t="s">
        <v>901</v>
      </c>
      <c r="B188" s="328">
        <v>82</v>
      </c>
      <c r="C188" s="329">
        <v>100</v>
      </c>
      <c r="D188" s="330">
        <v>829290</v>
      </c>
      <c r="E188" s="376" t="s">
        <v>1058</v>
      </c>
      <c r="F188" s="373">
        <f t="shared" si="2"/>
        <v>1</v>
      </c>
      <c r="G188" s="374">
        <v>0</v>
      </c>
      <c r="H188" s="375">
        <v>1</v>
      </c>
      <c r="I188" s="327">
        <v>1</v>
      </c>
      <c r="J188" s="331" t="s">
        <v>669</v>
      </c>
      <c r="K188" s="332">
        <v>410</v>
      </c>
      <c r="L188" s="333">
        <v>396</v>
      </c>
      <c r="M188" s="333">
        <v>420</v>
      </c>
      <c r="N188" s="333">
        <v>420</v>
      </c>
      <c r="O188" s="334">
        <v>400.42771000000005</v>
      </c>
    </row>
    <row r="189" spans="1:15" ht="25.4" customHeight="1">
      <c r="A189" s="416" t="s">
        <v>61</v>
      </c>
      <c r="B189" s="328">
        <v>82</v>
      </c>
      <c r="C189" s="329">
        <v>100</v>
      </c>
      <c r="D189" s="330">
        <v>829530</v>
      </c>
      <c r="E189" s="376" t="s">
        <v>1036</v>
      </c>
      <c r="F189" s="373">
        <f t="shared" si="2"/>
        <v>1</v>
      </c>
      <c r="G189" s="374">
        <v>0</v>
      </c>
      <c r="H189" s="375">
        <v>1</v>
      </c>
      <c r="I189" s="327">
        <v>1</v>
      </c>
      <c r="J189" s="331" t="s">
        <v>669</v>
      </c>
      <c r="K189" s="332">
        <v>180</v>
      </c>
      <c r="L189" s="333">
        <v>173</v>
      </c>
      <c r="M189" s="333">
        <v>180</v>
      </c>
      <c r="N189" s="333">
        <v>180</v>
      </c>
      <c r="O189" s="334">
        <v>174.64368999999999</v>
      </c>
    </row>
    <row r="190" spans="1:15" ht="25.4" customHeight="1">
      <c r="A190" s="416" t="s">
        <v>2183</v>
      </c>
      <c r="B190" s="328">
        <v>82</v>
      </c>
      <c r="C190" s="329">
        <v>100</v>
      </c>
      <c r="D190" s="330">
        <v>829910</v>
      </c>
      <c r="E190" s="376" t="s">
        <v>1278</v>
      </c>
      <c r="F190" s="373">
        <f t="shared" si="2"/>
        <v>0</v>
      </c>
      <c r="G190" s="374">
        <v>0</v>
      </c>
      <c r="H190" s="375">
        <v>0</v>
      </c>
      <c r="I190" s="327">
        <v>0</v>
      </c>
      <c r="J190" s="331" t="s">
        <v>669</v>
      </c>
      <c r="K190" s="332">
        <v>42</v>
      </c>
      <c r="L190" s="333">
        <v>40</v>
      </c>
      <c r="M190" s="333">
        <v>42</v>
      </c>
      <c r="N190" s="333">
        <v>42</v>
      </c>
      <c r="O190" s="334">
        <v>39.363419999999998</v>
      </c>
    </row>
    <row r="191" spans="1:15" ht="25.4" customHeight="1">
      <c r="A191" s="416" t="s">
        <v>696</v>
      </c>
      <c r="B191" s="328">
        <v>81</v>
      </c>
      <c r="C191" s="329">
        <v>100</v>
      </c>
      <c r="D191" s="330">
        <v>831000</v>
      </c>
      <c r="E191" s="372" t="s">
        <v>1058</v>
      </c>
      <c r="F191" s="373">
        <f t="shared" si="2"/>
        <v>4.8499999999999996</v>
      </c>
      <c r="G191" s="374">
        <v>0</v>
      </c>
      <c r="H191" s="375">
        <v>4.8499999999999996</v>
      </c>
      <c r="I191" s="327">
        <v>6.0166666666666666</v>
      </c>
      <c r="J191" s="331" t="s">
        <v>669</v>
      </c>
      <c r="K191" s="332">
        <v>1075</v>
      </c>
      <c r="L191" s="333">
        <v>1227</v>
      </c>
      <c r="M191" s="333">
        <v>1153</v>
      </c>
      <c r="N191" s="333">
        <v>1153</v>
      </c>
      <c r="O191" s="334">
        <v>986.26614000000006</v>
      </c>
    </row>
    <row r="192" spans="1:15" ht="25.4" customHeight="1">
      <c r="A192" s="416" t="s">
        <v>575</v>
      </c>
      <c r="B192" s="328">
        <v>81</v>
      </c>
      <c r="C192" s="329">
        <v>100</v>
      </c>
      <c r="D192" s="330">
        <v>832200</v>
      </c>
      <c r="E192" s="372" t="s">
        <v>1861</v>
      </c>
      <c r="F192" s="373">
        <f t="shared" si="2"/>
        <v>0.55000000000000004</v>
      </c>
      <c r="G192" s="374">
        <v>0</v>
      </c>
      <c r="H192" s="375">
        <v>0.55000000000000004</v>
      </c>
      <c r="I192" s="327">
        <v>0.51514999999999989</v>
      </c>
      <c r="J192" s="331" t="s">
        <v>669</v>
      </c>
      <c r="K192" s="332">
        <v>93</v>
      </c>
      <c r="L192" s="333">
        <v>87</v>
      </c>
      <c r="M192" s="333">
        <v>91</v>
      </c>
      <c r="N192" s="333">
        <v>91</v>
      </c>
      <c r="O192" s="334">
        <v>78.142440000000008</v>
      </c>
    </row>
    <row r="193" spans="1:15" ht="25.4" customHeight="1">
      <c r="A193" s="416" t="s">
        <v>1668</v>
      </c>
      <c r="B193" s="328">
        <v>81</v>
      </c>
      <c r="C193" s="329">
        <v>100</v>
      </c>
      <c r="D193" s="330">
        <v>832500</v>
      </c>
      <c r="E193" s="372" t="s">
        <v>848</v>
      </c>
      <c r="F193" s="373">
        <f t="shared" si="2"/>
        <v>1.5</v>
      </c>
      <c r="G193" s="374">
        <v>0</v>
      </c>
      <c r="H193" s="375">
        <v>1.5</v>
      </c>
      <c r="I193" s="327">
        <v>0.5</v>
      </c>
      <c r="J193" s="331" t="s">
        <v>669</v>
      </c>
      <c r="K193" s="332">
        <v>265</v>
      </c>
      <c r="L193" s="333">
        <v>97</v>
      </c>
      <c r="M193" s="333">
        <v>98</v>
      </c>
      <c r="N193" s="333">
        <v>98</v>
      </c>
      <c r="O193" s="334">
        <v>103.83832000000001</v>
      </c>
    </row>
    <row r="194" spans="1:15" ht="25.4" customHeight="1">
      <c r="A194" s="416" t="s">
        <v>1093</v>
      </c>
      <c r="B194" s="328">
        <v>84</v>
      </c>
      <c r="C194" s="329">
        <v>100</v>
      </c>
      <c r="D194" s="330">
        <v>841001</v>
      </c>
      <c r="E194" s="372" t="s">
        <v>1441</v>
      </c>
      <c r="F194" s="373">
        <f t="shared" si="2"/>
        <v>70.100000000000009</v>
      </c>
      <c r="G194" s="374">
        <v>1.3</v>
      </c>
      <c r="H194" s="375">
        <v>71.400000000000006</v>
      </c>
      <c r="I194" s="327">
        <v>64.605983333333342</v>
      </c>
      <c r="J194" s="331" t="s">
        <v>669</v>
      </c>
      <c r="K194" s="332">
        <v>14800</v>
      </c>
      <c r="L194" s="333">
        <v>13960</v>
      </c>
      <c r="M194" s="333">
        <v>14459</v>
      </c>
      <c r="N194" s="333">
        <v>14385</v>
      </c>
      <c r="O194" s="334">
        <v>12966.1314</v>
      </c>
    </row>
    <row r="195" spans="1:15" ht="25.4" customHeight="1">
      <c r="A195" s="416" t="s">
        <v>1093</v>
      </c>
      <c r="B195" s="328">
        <v>84</v>
      </c>
      <c r="C195" s="329">
        <v>102</v>
      </c>
      <c r="D195" s="330">
        <v>841001</v>
      </c>
      <c r="E195" s="372" t="s">
        <v>2227</v>
      </c>
      <c r="F195" s="373">
        <f t="shared" si="2"/>
        <v>0</v>
      </c>
      <c r="G195" s="374">
        <v>0</v>
      </c>
      <c r="H195" s="375">
        <v>0</v>
      </c>
      <c r="I195" s="327">
        <v>0</v>
      </c>
      <c r="J195" s="331" t="s">
        <v>669</v>
      </c>
      <c r="K195" s="332">
        <v>214</v>
      </c>
      <c r="L195" s="333">
        <v>214</v>
      </c>
      <c r="M195" s="333">
        <v>214</v>
      </c>
      <c r="N195" s="333">
        <v>214</v>
      </c>
      <c r="O195" s="334">
        <v>214.10101</v>
      </c>
    </row>
    <row r="196" spans="1:15" ht="25.4" customHeight="1">
      <c r="A196" s="416" t="s">
        <v>140</v>
      </c>
      <c r="B196" s="328">
        <v>84</v>
      </c>
      <c r="C196" s="329">
        <v>310</v>
      </c>
      <c r="D196" s="330">
        <v>841900</v>
      </c>
      <c r="E196" s="380" t="s">
        <v>647</v>
      </c>
      <c r="F196" s="373">
        <f t="shared" si="2"/>
        <v>25.46</v>
      </c>
      <c r="G196" s="374">
        <v>0</v>
      </c>
      <c r="H196" s="375">
        <v>25.46</v>
      </c>
      <c r="I196" s="327">
        <v>25.458833333333331</v>
      </c>
      <c r="J196" s="331" t="s">
        <v>669</v>
      </c>
      <c r="K196" s="332">
        <v>4300</v>
      </c>
      <c r="L196" s="333">
        <v>4000</v>
      </c>
      <c r="M196" s="333">
        <v>4250</v>
      </c>
      <c r="N196" s="333">
        <v>4250</v>
      </c>
      <c r="O196" s="334">
        <v>3641.8386099999998</v>
      </c>
    </row>
    <row r="197" spans="1:15" ht="25.4" customHeight="1">
      <c r="A197" s="416" t="s">
        <v>140</v>
      </c>
      <c r="B197" s="328">
        <v>84</v>
      </c>
      <c r="C197" s="329">
        <v>320</v>
      </c>
      <c r="D197" s="330">
        <v>841900</v>
      </c>
      <c r="E197" s="372" t="s">
        <v>196</v>
      </c>
      <c r="F197" s="373">
        <f t="shared" ref="F197:F248" si="3">H197-G197</f>
        <v>0</v>
      </c>
      <c r="G197" s="374">
        <v>0</v>
      </c>
      <c r="H197" s="375">
        <v>0</v>
      </c>
      <c r="I197" s="327">
        <v>0</v>
      </c>
      <c r="J197" s="331" t="s">
        <v>669</v>
      </c>
      <c r="K197" s="332">
        <v>450</v>
      </c>
      <c r="L197" s="333">
        <v>300</v>
      </c>
      <c r="M197" s="333">
        <v>450</v>
      </c>
      <c r="N197" s="333">
        <v>450</v>
      </c>
      <c r="O197" s="334">
        <v>253.04051000000001</v>
      </c>
    </row>
    <row r="198" spans="1:15" ht="25.4" customHeight="1">
      <c r="A198" s="416" t="s">
        <v>87</v>
      </c>
      <c r="B198" s="328">
        <v>84</v>
      </c>
      <c r="C198" s="329">
        <v>184</v>
      </c>
      <c r="D198" s="330">
        <v>842200</v>
      </c>
      <c r="E198" s="372" t="s">
        <v>1627</v>
      </c>
      <c r="F198" s="373">
        <f t="shared" si="3"/>
        <v>0.8</v>
      </c>
      <c r="G198" s="374">
        <v>0</v>
      </c>
      <c r="H198" s="375">
        <v>0.8</v>
      </c>
      <c r="I198" s="327">
        <v>0.5</v>
      </c>
      <c r="J198" s="331" t="s">
        <v>669</v>
      </c>
      <c r="K198" s="332">
        <v>155</v>
      </c>
      <c r="L198" s="333">
        <v>95</v>
      </c>
      <c r="M198" s="333">
        <v>140</v>
      </c>
      <c r="N198" s="333">
        <v>140</v>
      </c>
      <c r="O198" s="334">
        <v>85.673779999999994</v>
      </c>
    </row>
    <row r="199" spans="1:15" ht="25.4" customHeight="1">
      <c r="A199" s="416" t="s">
        <v>87</v>
      </c>
      <c r="B199" s="328">
        <v>84</v>
      </c>
      <c r="C199" s="329">
        <v>104</v>
      </c>
      <c r="D199" s="330">
        <v>842401</v>
      </c>
      <c r="E199" s="372" t="s">
        <v>1448</v>
      </c>
      <c r="F199" s="373">
        <f t="shared" si="3"/>
        <v>4.7</v>
      </c>
      <c r="G199" s="374">
        <v>0</v>
      </c>
      <c r="H199" s="375">
        <v>4.7</v>
      </c>
      <c r="I199" s="327">
        <v>4.6333333333333329</v>
      </c>
      <c r="J199" s="331" t="s">
        <v>669</v>
      </c>
      <c r="K199" s="332">
        <v>935</v>
      </c>
      <c r="L199" s="333">
        <v>882</v>
      </c>
      <c r="M199" s="333">
        <v>867</v>
      </c>
      <c r="N199" s="333">
        <v>867</v>
      </c>
      <c r="O199" s="334">
        <v>711.66618000000005</v>
      </c>
    </row>
    <row r="200" spans="1:15" ht="25.4" customHeight="1">
      <c r="A200" s="416" t="s">
        <v>87</v>
      </c>
      <c r="B200" s="328">
        <v>84</v>
      </c>
      <c r="C200" s="329">
        <v>184</v>
      </c>
      <c r="D200" s="330">
        <v>842401</v>
      </c>
      <c r="E200" s="372" t="s">
        <v>2002</v>
      </c>
      <c r="F200" s="373">
        <f t="shared" si="3"/>
        <v>3.85</v>
      </c>
      <c r="G200" s="374">
        <v>0</v>
      </c>
      <c r="H200" s="375">
        <v>3.85</v>
      </c>
      <c r="I200" s="326">
        <v>2.8</v>
      </c>
      <c r="J200" s="331" t="s">
        <v>669</v>
      </c>
      <c r="K200" s="332">
        <v>600</v>
      </c>
      <c r="L200" s="333">
        <v>485</v>
      </c>
      <c r="M200" s="333">
        <v>603</v>
      </c>
      <c r="N200" s="333">
        <v>603</v>
      </c>
      <c r="O200" s="334">
        <v>282.41721000000001</v>
      </c>
    </row>
    <row r="201" spans="1:15" ht="25.4" customHeight="1">
      <c r="A201" s="416" t="s">
        <v>413</v>
      </c>
      <c r="B201" s="328">
        <v>84</v>
      </c>
      <c r="C201" s="329">
        <v>184</v>
      </c>
      <c r="D201" s="330">
        <v>843502</v>
      </c>
      <c r="E201" s="372" t="s">
        <v>2228</v>
      </c>
      <c r="F201" s="373">
        <f t="shared" si="3"/>
        <v>0.5</v>
      </c>
      <c r="G201" s="374">
        <v>0</v>
      </c>
      <c r="H201" s="375">
        <v>0.5</v>
      </c>
      <c r="I201" s="326">
        <v>0.19355</v>
      </c>
      <c r="J201" s="331" t="s">
        <v>669</v>
      </c>
      <c r="K201" s="332">
        <v>85</v>
      </c>
      <c r="L201" s="333">
        <v>65</v>
      </c>
      <c r="M201" s="333">
        <v>85</v>
      </c>
      <c r="N201" s="333">
        <v>85</v>
      </c>
      <c r="O201" s="334">
        <v>29.408830000000002</v>
      </c>
    </row>
    <row r="202" spans="1:15" ht="25.4" customHeight="1">
      <c r="A202" s="416" t="s">
        <v>413</v>
      </c>
      <c r="B202" s="328">
        <v>84</v>
      </c>
      <c r="C202" s="329">
        <v>100</v>
      </c>
      <c r="D202" s="330">
        <v>843503</v>
      </c>
      <c r="E202" s="372" t="s">
        <v>1577</v>
      </c>
      <c r="F202" s="373">
        <f t="shared" si="3"/>
        <v>0</v>
      </c>
      <c r="G202" s="374">
        <v>0</v>
      </c>
      <c r="H202" s="375">
        <v>0</v>
      </c>
      <c r="I202" s="326">
        <v>0</v>
      </c>
      <c r="J202" s="331" t="s">
        <v>669</v>
      </c>
      <c r="K202" s="332">
        <v>35</v>
      </c>
      <c r="L202" s="333">
        <v>24</v>
      </c>
      <c r="M202" s="333">
        <v>35</v>
      </c>
      <c r="N202" s="333">
        <v>35</v>
      </c>
      <c r="O202" s="334">
        <v>0</v>
      </c>
    </row>
    <row r="203" spans="1:15" ht="25.4" customHeight="1">
      <c r="A203" s="416" t="s">
        <v>413</v>
      </c>
      <c r="B203" s="328">
        <v>84</v>
      </c>
      <c r="C203" s="329">
        <v>184</v>
      </c>
      <c r="D203" s="330">
        <v>843503</v>
      </c>
      <c r="E203" s="372" t="s">
        <v>1909</v>
      </c>
      <c r="F203" s="373">
        <f t="shared" si="3"/>
        <v>0</v>
      </c>
      <c r="G203" s="374">
        <v>0</v>
      </c>
      <c r="H203" s="375">
        <v>0</v>
      </c>
      <c r="I203" s="326">
        <v>0</v>
      </c>
      <c r="J203" s="331" t="s">
        <v>669</v>
      </c>
      <c r="K203" s="332">
        <v>0</v>
      </c>
      <c r="L203" s="333">
        <v>0</v>
      </c>
      <c r="M203" s="333">
        <v>0</v>
      </c>
      <c r="N203" s="333">
        <v>0</v>
      </c>
      <c r="O203" s="334">
        <v>2.5830199999999999</v>
      </c>
    </row>
    <row r="204" spans="1:15" ht="25.4" customHeight="1">
      <c r="A204" s="416" t="s">
        <v>413</v>
      </c>
      <c r="B204" s="328">
        <v>84</v>
      </c>
      <c r="C204" s="329">
        <v>184</v>
      </c>
      <c r="D204" s="330">
        <v>843504</v>
      </c>
      <c r="E204" s="372" t="s">
        <v>1453</v>
      </c>
      <c r="F204" s="373">
        <f t="shared" si="3"/>
        <v>15.8</v>
      </c>
      <c r="G204" s="374">
        <v>0</v>
      </c>
      <c r="H204" s="375">
        <v>15.8</v>
      </c>
      <c r="I204" s="326">
        <v>15.325533333333333</v>
      </c>
      <c r="J204" s="331" t="s">
        <v>669</v>
      </c>
      <c r="K204" s="332">
        <v>2400</v>
      </c>
      <c r="L204" s="333">
        <v>2277</v>
      </c>
      <c r="M204" s="333">
        <v>2212</v>
      </c>
      <c r="N204" s="333">
        <v>2212</v>
      </c>
      <c r="O204" s="334">
        <v>2120.6757400000001</v>
      </c>
    </row>
    <row r="205" spans="1:15" ht="25.4" customHeight="1">
      <c r="A205" s="416" t="s">
        <v>413</v>
      </c>
      <c r="B205" s="328">
        <v>84</v>
      </c>
      <c r="C205" s="329">
        <v>184</v>
      </c>
      <c r="D205" s="330">
        <v>843506</v>
      </c>
      <c r="E205" s="372" t="s">
        <v>1797</v>
      </c>
      <c r="F205" s="373">
        <f t="shared" si="3"/>
        <v>1.25</v>
      </c>
      <c r="G205" s="374">
        <v>0</v>
      </c>
      <c r="H205" s="375">
        <v>1.25</v>
      </c>
      <c r="I205" s="326">
        <v>0.87356666666666671</v>
      </c>
      <c r="J205" s="331" t="s">
        <v>669</v>
      </c>
      <c r="K205" s="332">
        <v>225</v>
      </c>
      <c r="L205" s="333">
        <v>177</v>
      </c>
      <c r="M205" s="333">
        <v>219</v>
      </c>
      <c r="N205" s="333">
        <v>219</v>
      </c>
      <c r="O205" s="334">
        <v>64.295630000000003</v>
      </c>
    </row>
    <row r="206" spans="1:15" ht="25.4" customHeight="1">
      <c r="A206" s="416" t="s">
        <v>1106</v>
      </c>
      <c r="B206" s="328">
        <v>84</v>
      </c>
      <c r="C206" s="329">
        <v>100</v>
      </c>
      <c r="D206" s="330">
        <v>844403</v>
      </c>
      <c r="E206" s="380" t="s">
        <v>2306</v>
      </c>
      <c r="F206" s="373">
        <f t="shared" si="3"/>
        <v>2</v>
      </c>
      <c r="G206" s="374">
        <v>0</v>
      </c>
      <c r="H206" s="375">
        <v>2</v>
      </c>
      <c r="I206" s="326">
        <v>0</v>
      </c>
      <c r="J206" s="331" t="s">
        <v>669</v>
      </c>
      <c r="K206" s="332">
        <v>300</v>
      </c>
      <c r="L206" s="333">
        <v>0</v>
      </c>
      <c r="M206" s="333">
        <v>100</v>
      </c>
      <c r="N206" s="333">
        <v>0</v>
      </c>
      <c r="O206" s="334">
        <v>0</v>
      </c>
    </row>
    <row r="207" spans="1:15" ht="25.4" customHeight="1">
      <c r="A207" s="416" t="s">
        <v>1106</v>
      </c>
      <c r="B207" s="328">
        <v>84</v>
      </c>
      <c r="C207" s="329">
        <v>100</v>
      </c>
      <c r="D207" s="330">
        <v>844406</v>
      </c>
      <c r="E207" s="380" t="s">
        <v>1908</v>
      </c>
      <c r="F207" s="373">
        <f t="shared" si="3"/>
        <v>0</v>
      </c>
      <c r="G207" s="374">
        <v>0</v>
      </c>
      <c r="H207" s="375">
        <v>0</v>
      </c>
      <c r="I207" s="326">
        <v>0</v>
      </c>
      <c r="J207" s="331" t="s">
        <v>669</v>
      </c>
      <c r="K207" s="332">
        <v>0</v>
      </c>
      <c r="L207" s="333">
        <v>0</v>
      </c>
      <c r="M207" s="333">
        <v>0</v>
      </c>
      <c r="N207" s="333">
        <v>0</v>
      </c>
      <c r="O207" s="334">
        <v>3.9404299999999997</v>
      </c>
    </row>
    <row r="208" spans="1:15" ht="25.4" customHeight="1">
      <c r="A208" s="416" t="s">
        <v>1752</v>
      </c>
      <c r="B208" s="328">
        <v>84</v>
      </c>
      <c r="C208" s="329">
        <v>184</v>
      </c>
      <c r="D208" s="330">
        <v>845501</v>
      </c>
      <c r="E208" s="380" t="s">
        <v>1476</v>
      </c>
      <c r="F208" s="373">
        <f t="shared" si="3"/>
        <v>0</v>
      </c>
      <c r="G208" s="374">
        <v>0</v>
      </c>
      <c r="H208" s="375">
        <v>0</v>
      </c>
      <c r="I208" s="391">
        <v>0.38093333333333335</v>
      </c>
      <c r="J208" s="331" t="s">
        <v>669</v>
      </c>
      <c r="K208" s="332">
        <v>0</v>
      </c>
      <c r="L208" s="333">
        <v>0</v>
      </c>
      <c r="M208" s="333">
        <v>0</v>
      </c>
      <c r="N208" s="333">
        <v>0</v>
      </c>
      <c r="O208" s="334">
        <v>369.72018000000003</v>
      </c>
    </row>
    <row r="209" spans="1:15" ht="25.4" customHeight="1">
      <c r="A209" s="416" t="s">
        <v>248</v>
      </c>
      <c r="B209" s="328">
        <v>84</v>
      </c>
      <c r="C209" s="329">
        <v>184</v>
      </c>
      <c r="D209" s="330">
        <v>846703</v>
      </c>
      <c r="E209" s="372" t="s">
        <v>1799</v>
      </c>
      <c r="F209" s="373">
        <f t="shared" si="3"/>
        <v>3.3</v>
      </c>
      <c r="G209" s="374">
        <v>0</v>
      </c>
      <c r="H209" s="375">
        <v>3.3</v>
      </c>
      <c r="I209" s="327">
        <v>3.1</v>
      </c>
      <c r="J209" s="331" t="s">
        <v>669</v>
      </c>
      <c r="K209" s="332">
        <v>340</v>
      </c>
      <c r="L209" s="333">
        <v>309</v>
      </c>
      <c r="M209" s="333">
        <v>339</v>
      </c>
      <c r="N209" s="333">
        <v>339</v>
      </c>
      <c r="O209" s="334">
        <v>154.47888</v>
      </c>
    </row>
    <row r="210" spans="1:15" ht="25.4" customHeight="1">
      <c r="A210" s="416" t="s">
        <v>1526</v>
      </c>
      <c r="B210" s="328">
        <v>84</v>
      </c>
      <c r="C210" s="329">
        <v>184</v>
      </c>
      <c r="D210" s="330">
        <v>847104</v>
      </c>
      <c r="E210" s="372" t="s">
        <v>1640</v>
      </c>
      <c r="F210" s="373">
        <f t="shared" si="3"/>
        <v>1.2000000000000002</v>
      </c>
      <c r="G210" s="374">
        <v>0</v>
      </c>
      <c r="H210" s="375">
        <v>1.2000000000000002</v>
      </c>
      <c r="I210" s="327">
        <v>1.1352</v>
      </c>
      <c r="J210" s="331" t="s">
        <v>669</v>
      </c>
      <c r="K210" s="332">
        <v>180</v>
      </c>
      <c r="L210" s="333">
        <v>156</v>
      </c>
      <c r="M210" s="333">
        <v>151</v>
      </c>
      <c r="N210" s="333">
        <v>151</v>
      </c>
      <c r="O210" s="334">
        <v>140.60238000000001</v>
      </c>
    </row>
    <row r="211" spans="1:15" ht="25.4" customHeight="1">
      <c r="A211" s="416" t="s">
        <v>1526</v>
      </c>
      <c r="B211" s="328">
        <v>84</v>
      </c>
      <c r="C211" s="329">
        <v>184</v>
      </c>
      <c r="D211" s="330">
        <v>847105</v>
      </c>
      <c r="E211" s="376" t="s">
        <v>1847</v>
      </c>
      <c r="F211" s="373">
        <f t="shared" si="3"/>
        <v>2.2999999999999998</v>
      </c>
      <c r="G211" s="374">
        <v>0</v>
      </c>
      <c r="H211" s="375">
        <v>2.2999999999999998</v>
      </c>
      <c r="I211" s="327">
        <v>2.0499999999999998</v>
      </c>
      <c r="J211" s="331" t="s">
        <v>669</v>
      </c>
      <c r="K211" s="332">
        <v>350</v>
      </c>
      <c r="L211" s="333">
        <v>303</v>
      </c>
      <c r="M211" s="333">
        <v>314</v>
      </c>
      <c r="N211" s="333">
        <v>314</v>
      </c>
      <c r="O211" s="334">
        <v>282.45783</v>
      </c>
    </row>
    <row r="212" spans="1:15" ht="25.4" customHeight="1">
      <c r="A212" s="418" t="s">
        <v>1526</v>
      </c>
      <c r="B212" s="328">
        <v>84</v>
      </c>
      <c r="C212" s="393">
        <v>185</v>
      </c>
      <c r="D212" s="394">
        <v>847105</v>
      </c>
      <c r="E212" s="398" t="s">
        <v>1927</v>
      </c>
      <c r="F212" s="373">
        <f t="shared" si="3"/>
        <v>0</v>
      </c>
      <c r="G212" s="374">
        <v>0</v>
      </c>
      <c r="H212" s="396">
        <v>0</v>
      </c>
      <c r="I212" s="399">
        <v>0</v>
      </c>
      <c r="J212" s="331" t="s">
        <v>669</v>
      </c>
      <c r="K212" s="400">
        <v>75</v>
      </c>
      <c r="L212" s="401">
        <v>14</v>
      </c>
      <c r="M212" s="401">
        <v>60</v>
      </c>
      <c r="N212" s="401">
        <v>60</v>
      </c>
      <c r="O212" s="334">
        <v>52.349199999999996</v>
      </c>
    </row>
    <row r="213" spans="1:15" ht="25.4" customHeight="1">
      <c r="A213" s="416" t="s">
        <v>1526</v>
      </c>
      <c r="B213" s="328">
        <v>84</v>
      </c>
      <c r="C213" s="329">
        <v>184</v>
      </c>
      <c r="D213" s="330">
        <v>847106</v>
      </c>
      <c r="E213" s="402" t="s">
        <v>1845</v>
      </c>
      <c r="F213" s="373">
        <f t="shared" si="3"/>
        <v>0.5</v>
      </c>
      <c r="G213" s="374">
        <v>0</v>
      </c>
      <c r="H213" s="375">
        <v>0.5</v>
      </c>
      <c r="I213" s="326">
        <v>0.5</v>
      </c>
      <c r="J213" s="331" t="s">
        <v>669</v>
      </c>
      <c r="K213" s="332">
        <v>90</v>
      </c>
      <c r="L213" s="333">
        <v>87</v>
      </c>
      <c r="M213" s="333">
        <v>90</v>
      </c>
      <c r="N213" s="333">
        <v>90</v>
      </c>
      <c r="O213" s="334">
        <v>68.053979999999996</v>
      </c>
    </row>
    <row r="214" spans="1:15" ht="25.4" customHeight="1">
      <c r="A214" s="416" t="s">
        <v>333</v>
      </c>
      <c r="B214" s="328">
        <v>84</v>
      </c>
      <c r="C214" s="393">
        <v>100</v>
      </c>
      <c r="D214" s="394">
        <v>847401</v>
      </c>
      <c r="E214" s="398" t="s">
        <v>1488</v>
      </c>
      <c r="F214" s="373">
        <f t="shared" si="3"/>
        <v>13.34</v>
      </c>
      <c r="G214" s="374">
        <v>0</v>
      </c>
      <c r="H214" s="396">
        <v>13.34</v>
      </c>
      <c r="I214" s="326">
        <v>11.289399999999999</v>
      </c>
      <c r="J214" s="331" t="s">
        <v>669</v>
      </c>
      <c r="K214" s="400">
        <v>2700</v>
      </c>
      <c r="L214" s="401">
        <v>2402</v>
      </c>
      <c r="M214" s="401">
        <v>2750</v>
      </c>
      <c r="N214" s="401">
        <v>2750</v>
      </c>
      <c r="O214" s="334">
        <v>2310.51485</v>
      </c>
    </row>
    <row r="215" spans="1:15" ht="25.4" customHeight="1">
      <c r="A215" s="416" t="s">
        <v>333</v>
      </c>
      <c r="B215" s="328">
        <v>84</v>
      </c>
      <c r="C215" s="393">
        <v>101</v>
      </c>
      <c r="D215" s="394">
        <v>847401</v>
      </c>
      <c r="E215" s="398" t="s">
        <v>334</v>
      </c>
      <c r="F215" s="373">
        <f t="shared" si="3"/>
        <v>1</v>
      </c>
      <c r="G215" s="374">
        <v>0</v>
      </c>
      <c r="H215" s="396">
        <v>1</v>
      </c>
      <c r="I215" s="327">
        <v>1</v>
      </c>
      <c r="J215" s="331" t="s">
        <v>669</v>
      </c>
      <c r="K215" s="332">
        <v>125</v>
      </c>
      <c r="L215" s="401">
        <v>120</v>
      </c>
      <c r="M215" s="333">
        <v>122</v>
      </c>
      <c r="N215" s="333">
        <v>147</v>
      </c>
      <c r="O215" s="334">
        <v>124.79942999999999</v>
      </c>
    </row>
    <row r="216" spans="1:15" ht="25.4" customHeight="1">
      <c r="A216" s="416" t="s">
        <v>333</v>
      </c>
      <c r="B216" s="328">
        <v>84</v>
      </c>
      <c r="C216" s="393">
        <v>102</v>
      </c>
      <c r="D216" s="394">
        <v>847401</v>
      </c>
      <c r="E216" s="398" t="s">
        <v>252</v>
      </c>
      <c r="F216" s="373">
        <f t="shared" si="3"/>
        <v>0.44</v>
      </c>
      <c r="G216" s="374">
        <v>0</v>
      </c>
      <c r="H216" s="396">
        <v>0.44</v>
      </c>
      <c r="I216" s="399">
        <v>0.44</v>
      </c>
      <c r="J216" s="331" t="s">
        <v>669</v>
      </c>
      <c r="K216" s="400">
        <v>80</v>
      </c>
      <c r="L216" s="401">
        <v>74</v>
      </c>
      <c r="M216" s="401">
        <v>120</v>
      </c>
      <c r="N216" s="401">
        <v>120</v>
      </c>
      <c r="O216" s="334">
        <v>104.92128</v>
      </c>
    </row>
    <row r="217" spans="1:15" ht="25.4" customHeight="1">
      <c r="A217" s="416" t="s">
        <v>333</v>
      </c>
      <c r="B217" s="328">
        <v>81</v>
      </c>
      <c r="C217" s="329">
        <v>107</v>
      </c>
      <c r="D217" s="330">
        <v>847401</v>
      </c>
      <c r="E217" s="372" t="s">
        <v>1699</v>
      </c>
      <c r="F217" s="373">
        <f t="shared" si="3"/>
        <v>0</v>
      </c>
      <c r="G217" s="374">
        <v>1</v>
      </c>
      <c r="H217" s="375">
        <v>0.99999999999999978</v>
      </c>
      <c r="I217" s="327">
        <v>1.0086666666666668</v>
      </c>
      <c r="J217" s="331" t="s">
        <v>669</v>
      </c>
      <c r="K217" s="332">
        <v>97</v>
      </c>
      <c r="L217" s="333">
        <v>97</v>
      </c>
      <c r="M217" s="333">
        <v>97</v>
      </c>
      <c r="N217" s="333">
        <v>97</v>
      </c>
      <c r="O217" s="334">
        <v>93.37008999999999</v>
      </c>
    </row>
    <row r="218" spans="1:15" ht="25.4" customHeight="1">
      <c r="A218" s="416" t="s">
        <v>333</v>
      </c>
      <c r="B218" s="328">
        <v>84</v>
      </c>
      <c r="C218" s="329">
        <v>108</v>
      </c>
      <c r="D218" s="330">
        <v>847401</v>
      </c>
      <c r="E218" s="403" t="s">
        <v>1574</v>
      </c>
      <c r="F218" s="373">
        <f t="shared" si="3"/>
        <v>2</v>
      </c>
      <c r="G218" s="374">
        <v>0</v>
      </c>
      <c r="H218" s="375">
        <v>2</v>
      </c>
      <c r="I218" s="327">
        <v>1.7970833333333334</v>
      </c>
      <c r="J218" s="331" t="s">
        <v>669</v>
      </c>
      <c r="K218" s="332">
        <v>215</v>
      </c>
      <c r="L218" s="333">
        <v>190</v>
      </c>
      <c r="M218" s="333">
        <v>201</v>
      </c>
      <c r="N218" s="333">
        <v>201</v>
      </c>
      <c r="O218" s="334">
        <v>162.85108</v>
      </c>
    </row>
    <row r="219" spans="1:15" ht="25.4" customHeight="1">
      <c r="A219" s="416" t="s">
        <v>333</v>
      </c>
      <c r="B219" s="328">
        <v>84</v>
      </c>
      <c r="C219" s="329">
        <v>185</v>
      </c>
      <c r="D219" s="330">
        <v>847401</v>
      </c>
      <c r="E219" s="403" t="s">
        <v>1748</v>
      </c>
      <c r="F219" s="373">
        <f t="shared" si="3"/>
        <v>0</v>
      </c>
      <c r="G219" s="374">
        <v>0</v>
      </c>
      <c r="H219" s="375">
        <v>0</v>
      </c>
      <c r="I219" s="326">
        <v>0</v>
      </c>
      <c r="J219" s="331" t="s">
        <v>669</v>
      </c>
      <c r="K219" s="332">
        <v>66</v>
      </c>
      <c r="L219" s="333">
        <v>57</v>
      </c>
      <c r="M219" s="333">
        <v>66</v>
      </c>
      <c r="N219" s="333">
        <v>66</v>
      </c>
      <c r="O219" s="334">
        <v>36.432110000000002</v>
      </c>
    </row>
    <row r="220" spans="1:15" ht="25.4" customHeight="1">
      <c r="A220" s="416" t="s">
        <v>823</v>
      </c>
      <c r="B220" s="328">
        <v>84</v>
      </c>
      <c r="C220" s="329">
        <v>100</v>
      </c>
      <c r="D220" s="330">
        <v>848201</v>
      </c>
      <c r="E220" s="403" t="s">
        <v>1492</v>
      </c>
      <c r="F220" s="373">
        <f t="shared" si="3"/>
        <v>7.91</v>
      </c>
      <c r="G220" s="374">
        <v>0</v>
      </c>
      <c r="H220" s="375">
        <v>7.91</v>
      </c>
      <c r="I220" s="326">
        <v>6.65</v>
      </c>
      <c r="J220" s="331" t="s">
        <v>669</v>
      </c>
      <c r="K220" s="332">
        <v>1405</v>
      </c>
      <c r="L220" s="333">
        <v>1282</v>
      </c>
      <c r="M220" s="333">
        <v>1282</v>
      </c>
      <c r="N220" s="333">
        <v>1241</v>
      </c>
      <c r="O220" s="334">
        <v>1108.97927</v>
      </c>
    </row>
    <row r="221" spans="1:15" ht="25.4" customHeight="1">
      <c r="A221" s="416" t="s">
        <v>823</v>
      </c>
      <c r="B221" s="328">
        <v>84</v>
      </c>
      <c r="C221" s="329">
        <v>101</v>
      </c>
      <c r="D221" s="330">
        <v>848201</v>
      </c>
      <c r="E221" s="403" t="s">
        <v>1805</v>
      </c>
      <c r="F221" s="373">
        <f t="shared" si="3"/>
        <v>0</v>
      </c>
      <c r="G221" s="374">
        <v>0</v>
      </c>
      <c r="H221" s="375">
        <v>0</v>
      </c>
      <c r="I221" s="326">
        <v>0.19444999999999996</v>
      </c>
      <c r="J221" s="331" t="s">
        <v>669</v>
      </c>
      <c r="K221" s="332">
        <v>110</v>
      </c>
      <c r="L221" s="333">
        <v>20</v>
      </c>
      <c r="M221" s="333">
        <v>110</v>
      </c>
      <c r="N221" s="333">
        <v>110</v>
      </c>
      <c r="O221" s="334">
        <v>3.7432500000000002</v>
      </c>
    </row>
    <row r="222" spans="1:15" ht="25.4" customHeight="1">
      <c r="A222" s="416" t="s">
        <v>823</v>
      </c>
      <c r="B222" s="328">
        <v>84</v>
      </c>
      <c r="C222" s="329">
        <v>184</v>
      </c>
      <c r="D222" s="330">
        <v>848201</v>
      </c>
      <c r="E222" s="372" t="s">
        <v>1779</v>
      </c>
      <c r="F222" s="373">
        <f t="shared" si="3"/>
        <v>0</v>
      </c>
      <c r="G222" s="374">
        <v>0</v>
      </c>
      <c r="H222" s="375">
        <v>0</v>
      </c>
      <c r="I222" s="326">
        <v>0</v>
      </c>
      <c r="J222" s="331" t="s">
        <v>669</v>
      </c>
      <c r="K222" s="332">
        <v>0</v>
      </c>
      <c r="L222" s="333">
        <v>0</v>
      </c>
      <c r="M222" s="333">
        <v>0</v>
      </c>
      <c r="N222" s="333">
        <v>0</v>
      </c>
      <c r="O222" s="334">
        <v>3.2607399999999997</v>
      </c>
    </row>
    <row r="223" spans="1:15" ht="25.4" customHeight="1">
      <c r="A223" s="416" t="s">
        <v>823</v>
      </c>
      <c r="B223" s="328">
        <v>84</v>
      </c>
      <c r="C223" s="329">
        <v>100</v>
      </c>
      <c r="D223" s="330">
        <v>848302</v>
      </c>
      <c r="E223" s="404" t="s">
        <v>1499</v>
      </c>
      <c r="F223" s="373">
        <f t="shared" si="3"/>
        <v>0.74</v>
      </c>
      <c r="G223" s="374">
        <v>0</v>
      </c>
      <c r="H223" s="375">
        <v>0.74</v>
      </c>
      <c r="I223" s="326">
        <v>0.74</v>
      </c>
      <c r="J223" s="331" t="s">
        <v>669</v>
      </c>
      <c r="K223" s="332">
        <v>105</v>
      </c>
      <c r="L223" s="333">
        <v>103</v>
      </c>
      <c r="M223" s="333">
        <v>95</v>
      </c>
      <c r="N223" s="333">
        <v>95</v>
      </c>
      <c r="O223" s="334">
        <v>94.128779999999992</v>
      </c>
    </row>
    <row r="224" spans="1:15" ht="25.4" customHeight="1">
      <c r="A224" s="416" t="s">
        <v>1756</v>
      </c>
      <c r="B224" s="328">
        <v>1</v>
      </c>
      <c r="C224" s="329">
        <v>100</v>
      </c>
      <c r="D224" s="330">
        <v>848300</v>
      </c>
      <c r="E224" s="403" t="s">
        <v>848</v>
      </c>
      <c r="F224" s="373">
        <f t="shared" si="3"/>
        <v>1.5</v>
      </c>
      <c r="G224" s="374">
        <v>0</v>
      </c>
      <c r="H224" s="375">
        <v>1.5</v>
      </c>
      <c r="I224" s="391">
        <v>1.5</v>
      </c>
      <c r="J224" s="331" t="s">
        <v>669</v>
      </c>
      <c r="K224" s="332">
        <v>325</v>
      </c>
      <c r="L224" s="333">
        <v>299</v>
      </c>
      <c r="M224" s="333">
        <v>299</v>
      </c>
      <c r="N224" s="333">
        <v>299</v>
      </c>
      <c r="O224" s="334">
        <v>284.24482</v>
      </c>
    </row>
    <row r="225" spans="1:15" ht="25.4" customHeight="1">
      <c r="A225" s="416" t="s">
        <v>104</v>
      </c>
      <c r="B225" s="328">
        <v>82</v>
      </c>
      <c r="C225" s="329">
        <v>100</v>
      </c>
      <c r="D225" s="330">
        <v>848290</v>
      </c>
      <c r="E225" s="380" t="s">
        <v>848</v>
      </c>
      <c r="F225" s="373">
        <f t="shared" si="3"/>
        <v>1.0000000000000002</v>
      </c>
      <c r="G225" s="374">
        <v>0</v>
      </c>
      <c r="H225" s="375">
        <v>1.0000000000000002</v>
      </c>
      <c r="I225" s="326">
        <v>1.0000000000000002</v>
      </c>
      <c r="J225" s="331" t="s">
        <v>669</v>
      </c>
      <c r="K225" s="332">
        <v>211</v>
      </c>
      <c r="L225" s="333">
        <v>206</v>
      </c>
      <c r="M225" s="333">
        <v>200</v>
      </c>
      <c r="N225" s="333">
        <v>200</v>
      </c>
      <c r="O225" s="334">
        <v>214.30014000000003</v>
      </c>
    </row>
    <row r="226" spans="1:15" ht="25.4" customHeight="1">
      <c r="A226" s="416" t="s">
        <v>32</v>
      </c>
      <c r="B226" s="328">
        <v>82</v>
      </c>
      <c r="C226" s="329">
        <v>100</v>
      </c>
      <c r="D226" s="330">
        <v>861000</v>
      </c>
      <c r="E226" s="403" t="s">
        <v>1058</v>
      </c>
      <c r="F226" s="373">
        <f t="shared" si="3"/>
        <v>0.7</v>
      </c>
      <c r="G226" s="374">
        <v>0</v>
      </c>
      <c r="H226" s="375">
        <v>0.7</v>
      </c>
      <c r="I226" s="326">
        <v>0.30816666666666664</v>
      </c>
      <c r="J226" s="331" t="s">
        <v>669</v>
      </c>
      <c r="K226" s="332">
        <v>90</v>
      </c>
      <c r="L226" s="333">
        <v>35</v>
      </c>
      <c r="M226" s="333">
        <v>84</v>
      </c>
      <c r="N226" s="333">
        <v>94</v>
      </c>
      <c r="O226" s="334">
        <v>6.9258599999999992</v>
      </c>
    </row>
    <row r="227" spans="1:15" ht="25.4" customHeight="1">
      <c r="A227" s="416" t="s">
        <v>585</v>
      </c>
      <c r="B227" s="328">
        <v>82</v>
      </c>
      <c r="C227" s="329">
        <v>100</v>
      </c>
      <c r="D227" s="330">
        <v>869000</v>
      </c>
      <c r="E227" s="403" t="s">
        <v>1058</v>
      </c>
      <c r="F227" s="373">
        <f t="shared" si="3"/>
        <v>1</v>
      </c>
      <c r="G227" s="374">
        <v>0</v>
      </c>
      <c r="H227" s="375">
        <v>1</v>
      </c>
      <c r="I227" s="326">
        <v>0</v>
      </c>
      <c r="J227" s="331" t="s">
        <v>669</v>
      </c>
      <c r="K227" s="332">
        <v>150</v>
      </c>
      <c r="L227" s="333">
        <v>25</v>
      </c>
      <c r="M227" s="333">
        <v>50</v>
      </c>
      <c r="N227" s="333">
        <v>70</v>
      </c>
      <c r="O227" s="334">
        <v>0</v>
      </c>
    </row>
    <row r="228" spans="1:15" ht="25.4" customHeight="1">
      <c r="A228" s="416" t="s">
        <v>1059</v>
      </c>
      <c r="B228" s="328">
        <v>3</v>
      </c>
      <c r="C228" s="329">
        <v>100</v>
      </c>
      <c r="D228" s="330">
        <v>879000</v>
      </c>
      <c r="E228" s="403" t="s">
        <v>1058</v>
      </c>
      <c r="F228" s="373">
        <f t="shared" si="3"/>
        <v>6.7</v>
      </c>
      <c r="G228" s="374">
        <v>0</v>
      </c>
      <c r="H228" s="375">
        <v>6.7</v>
      </c>
      <c r="I228" s="326">
        <v>5.5693500000000009</v>
      </c>
      <c r="J228" s="331" t="s">
        <v>669</v>
      </c>
      <c r="K228" s="332">
        <v>1102</v>
      </c>
      <c r="L228" s="333">
        <v>912</v>
      </c>
      <c r="M228" s="333">
        <v>1097</v>
      </c>
      <c r="N228" s="333">
        <v>1119</v>
      </c>
      <c r="O228" s="334">
        <v>1095.6769899999999</v>
      </c>
    </row>
    <row r="229" spans="1:15" ht="25.4" customHeight="1">
      <c r="A229" s="416" t="s">
        <v>1059</v>
      </c>
      <c r="B229" s="328">
        <v>3</v>
      </c>
      <c r="C229" s="329">
        <v>101</v>
      </c>
      <c r="D229" s="330">
        <v>879000</v>
      </c>
      <c r="E229" s="372" t="s">
        <v>2208</v>
      </c>
      <c r="F229" s="373">
        <f t="shared" si="3"/>
        <v>0.5</v>
      </c>
      <c r="G229" s="374">
        <v>0</v>
      </c>
      <c r="H229" s="375">
        <v>0.5</v>
      </c>
      <c r="I229" s="327">
        <v>0.5</v>
      </c>
      <c r="J229" s="331" t="s">
        <v>669</v>
      </c>
      <c r="K229" s="332">
        <v>91</v>
      </c>
      <c r="L229" s="333">
        <v>90</v>
      </c>
      <c r="M229" s="333">
        <v>120</v>
      </c>
      <c r="N229" s="333">
        <v>120</v>
      </c>
      <c r="O229" s="334">
        <v>96.019589999999994</v>
      </c>
    </row>
    <row r="230" spans="1:15" ht="25.4" customHeight="1">
      <c r="A230" s="416" t="s">
        <v>810</v>
      </c>
      <c r="B230" s="328">
        <v>4</v>
      </c>
      <c r="C230" s="329">
        <v>100</v>
      </c>
      <c r="D230" s="330">
        <v>913200</v>
      </c>
      <c r="E230" s="372" t="s">
        <v>1351</v>
      </c>
      <c r="F230" s="373">
        <f t="shared" si="3"/>
        <v>9</v>
      </c>
      <c r="G230" s="374">
        <v>0</v>
      </c>
      <c r="H230" s="375">
        <v>9</v>
      </c>
      <c r="I230" s="327">
        <v>9</v>
      </c>
      <c r="J230" s="331" t="s">
        <v>669</v>
      </c>
      <c r="K230" s="332">
        <v>1995</v>
      </c>
      <c r="L230" s="333">
        <v>1950</v>
      </c>
      <c r="M230" s="333">
        <v>2160</v>
      </c>
      <c r="N230" s="333">
        <v>2160</v>
      </c>
      <c r="O230" s="334">
        <v>1968.93993</v>
      </c>
    </row>
    <row r="231" spans="1:15" ht="25.4" customHeight="1">
      <c r="A231" s="416" t="s">
        <v>169</v>
      </c>
      <c r="B231" s="328">
        <v>2</v>
      </c>
      <c r="C231" s="329">
        <v>100</v>
      </c>
      <c r="D231" s="330">
        <v>933000</v>
      </c>
      <c r="E231" s="372" t="s">
        <v>1301</v>
      </c>
      <c r="F231" s="373">
        <f t="shared" si="3"/>
        <v>7.5</v>
      </c>
      <c r="G231" s="374">
        <v>0</v>
      </c>
      <c r="H231" s="375">
        <v>7.5</v>
      </c>
      <c r="I231" s="327">
        <v>7.5</v>
      </c>
      <c r="J231" s="331" t="s">
        <v>669</v>
      </c>
      <c r="K231" s="332">
        <v>1530</v>
      </c>
      <c r="L231" s="333">
        <v>1400</v>
      </c>
      <c r="M231" s="333">
        <v>1563</v>
      </c>
      <c r="N231" s="333">
        <v>1594</v>
      </c>
      <c r="O231" s="334">
        <v>1299.0471399999999</v>
      </c>
    </row>
    <row r="232" spans="1:15" ht="25.4" customHeight="1">
      <c r="A232" s="416" t="s">
        <v>411</v>
      </c>
      <c r="B232" s="328">
        <v>12</v>
      </c>
      <c r="C232" s="329">
        <v>100</v>
      </c>
      <c r="D232" s="330">
        <v>938200</v>
      </c>
      <c r="E232" s="372" t="s">
        <v>1058</v>
      </c>
      <c r="F232" s="373">
        <f t="shared" si="3"/>
        <v>0</v>
      </c>
      <c r="G232" s="374">
        <v>0</v>
      </c>
      <c r="H232" s="375">
        <v>0</v>
      </c>
      <c r="I232" s="326">
        <v>0</v>
      </c>
      <c r="J232" s="331" t="s">
        <v>669</v>
      </c>
      <c r="K232" s="332">
        <v>0</v>
      </c>
      <c r="L232" s="333">
        <v>0</v>
      </c>
      <c r="M232" s="333">
        <v>0</v>
      </c>
      <c r="N232" s="333">
        <v>0</v>
      </c>
      <c r="O232" s="334">
        <v>94.336250000000007</v>
      </c>
    </row>
    <row r="233" spans="1:15" ht="25.4" customHeight="1">
      <c r="A233" s="416" t="s">
        <v>617</v>
      </c>
      <c r="B233" s="328">
        <v>5</v>
      </c>
      <c r="C233" s="329">
        <v>100</v>
      </c>
      <c r="D233" s="330">
        <v>938300</v>
      </c>
      <c r="E233" s="372" t="s">
        <v>1702</v>
      </c>
      <c r="F233" s="373">
        <f t="shared" si="3"/>
        <v>12</v>
      </c>
      <c r="G233" s="374">
        <v>0</v>
      </c>
      <c r="H233" s="375">
        <v>12</v>
      </c>
      <c r="I233" s="327">
        <v>12</v>
      </c>
      <c r="J233" s="331" t="s">
        <v>669</v>
      </c>
      <c r="K233" s="332">
        <v>1060</v>
      </c>
      <c r="L233" s="333">
        <v>988</v>
      </c>
      <c r="M233" s="333">
        <v>1136</v>
      </c>
      <c r="N233" s="333">
        <v>1136</v>
      </c>
      <c r="O233" s="334">
        <v>983.29991000000007</v>
      </c>
    </row>
    <row r="234" spans="1:15" ht="25.4" customHeight="1">
      <c r="A234" s="416" t="s">
        <v>1555</v>
      </c>
      <c r="B234" s="328">
        <v>5</v>
      </c>
      <c r="C234" s="329">
        <v>100</v>
      </c>
      <c r="D234" s="330">
        <v>938400</v>
      </c>
      <c r="E234" s="372" t="s">
        <v>1907</v>
      </c>
      <c r="F234" s="373">
        <f t="shared" si="3"/>
        <v>13.5</v>
      </c>
      <c r="G234" s="374">
        <v>0</v>
      </c>
      <c r="H234" s="375">
        <v>13.5</v>
      </c>
      <c r="I234" s="327">
        <v>13.867816666666664</v>
      </c>
      <c r="J234" s="331" t="s">
        <v>669</v>
      </c>
      <c r="K234" s="332">
        <v>2800</v>
      </c>
      <c r="L234" s="333">
        <v>2700</v>
      </c>
      <c r="M234" s="333">
        <v>2857</v>
      </c>
      <c r="N234" s="333">
        <v>3119</v>
      </c>
      <c r="O234" s="334">
        <v>2976.28197</v>
      </c>
    </row>
    <row r="235" spans="1:15" ht="25.4" customHeight="1">
      <c r="A235" s="416" t="s">
        <v>1555</v>
      </c>
      <c r="B235" s="328">
        <v>5</v>
      </c>
      <c r="C235" s="329">
        <v>101</v>
      </c>
      <c r="D235" s="330">
        <v>938400</v>
      </c>
      <c r="E235" s="372" t="s">
        <v>1305</v>
      </c>
      <c r="F235" s="373">
        <f t="shared" si="3"/>
        <v>4</v>
      </c>
      <c r="G235" s="374">
        <v>0</v>
      </c>
      <c r="H235" s="375">
        <v>4</v>
      </c>
      <c r="I235" s="327">
        <v>4.0268833333333331</v>
      </c>
      <c r="J235" s="331" t="s">
        <v>669</v>
      </c>
      <c r="K235" s="332">
        <v>1045</v>
      </c>
      <c r="L235" s="333">
        <v>950</v>
      </c>
      <c r="M235" s="333">
        <v>968</v>
      </c>
      <c r="N235" s="333">
        <v>987</v>
      </c>
      <c r="O235" s="334">
        <v>799.32841000000008</v>
      </c>
    </row>
    <row r="236" spans="1:15" ht="25.4" customHeight="1">
      <c r="A236" s="416" t="s">
        <v>1555</v>
      </c>
      <c r="B236" s="328">
        <v>5</v>
      </c>
      <c r="C236" s="329">
        <v>102</v>
      </c>
      <c r="D236" s="330">
        <v>938400</v>
      </c>
      <c r="E236" s="372" t="s">
        <v>1306</v>
      </c>
      <c r="F236" s="373">
        <f t="shared" si="3"/>
        <v>4</v>
      </c>
      <c r="G236" s="374">
        <v>0</v>
      </c>
      <c r="H236" s="375">
        <v>4</v>
      </c>
      <c r="I236" s="327">
        <v>3.9252833333333337</v>
      </c>
      <c r="J236" s="331" t="s">
        <v>669</v>
      </c>
      <c r="K236" s="332">
        <v>744</v>
      </c>
      <c r="L236" s="333">
        <v>730</v>
      </c>
      <c r="M236" s="333">
        <v>762</v>
      </c>
      <c r="N236" s="333">
        <v>777</v>
      </c>
      <c r="O236" s="334">
        <v>714.30757999999992</v>
      </c>
    </row>
    <row r="237" spans="1:15" ht="25.4" customHeight="1">
      <c r="A237" s="416" t="s">
        <v>1555</v>
      </c>
      <c r="B237" s="328">
        <v>5</v>
      </c>
      <c r="C237" s="329">
        <v>103</v>
      </c>
      <c r="D237" s="330">
        <v>938400</v>
      </c>
      <c r="E237" s="372" t="s">
        <v>1307</v>
      </c>
      <c r="F237" s="373">
        <f t="shared" si="3"/>
        <v>15.15</v>
      </c>
      <c r="G237" s="374">
        <v>0</v>
      </c>
      <c r="H237" s="375">
        <v>15.15</v>
      </c>
      <c r="I237" s="327">
        <v>14.983333333333333</v>
      </c>
      <c r="J237" s="331" t="s">
        <v>669</v>
      </c>
      <c r="K237" s="332">
        <v>2450</v>
      </c>
      <c r="L237" s="333">
        <v>2365</v>
      </c>
      <c r="M237" s="333">
        <v>2392</v>
      </c>
      <c r="N237" s="333">
        <v>2392</v>
      </c>
      <c r="O237" s="334">
        <v>2102.9677099999999</v>
      </c>
    </row>
    <row r="238" spans="1:15" ht="25.4" customHeight="1">
      <c r="A238" s="416" t="s">
        <v>1555</v>
      </c>
      <c r="B238" s="328">
        <v>5</v>
      </c>
      <c r="C238" s="329">
        <v>104</v>
      </c>
      <c r="D238" s="330">
        <v>938400</v>
      </c>
      <c r="E238" s="376" t="s">
        <v>1604</v>
      </c>
      <c r="F238" s="373">
        <f t="shared" si="3"/>
        <v>5</v>
      </c>
      <c r="G238" s="374">
        <v>0</v>
      </c>
      <c r="H238" s="375">
        <v>5</v>
      </c>
      <c r="I238" s="327">
        <v>5</v>
      </c>
      <c r="J238" s="331" t="s">
        <v>669</v>
      </c>
      <c r="K238" s="332">
        <v>900</v>
      </c>
      <c r="L238" s="333">
        <v>880</v>
      </c>
      <c r="M238" s="333">
        <v>938</v>
      </c>
      <c r="N238" s="333">
        <v>957</v>
      </c>
      <c r="O238" s="334">
        <v>679.9940600000001</v>
      </c>
    </row>
    <row r="239" spans="1:15" ht="25.4" customHeight="1">
      <c r="A239" s="416" t="s">
        <v>1555</v>
      </c>
      <c r="B239" s="328">
        <v>5</v>
      </c>
      <c r="C239" s="329">
        <v>127</v>
      </c>
      <c r="D239" s="330">
        <v>938400</v>
      </c>
      <c r="E239" s="372" t="s">
        <v>966</v>
      </c>
      <c r="F239" s="373">
        <f t="shared" si="3"/>
        <v>0</v>
      </c>
      <c r="G239" s="374">
        <v>0</v>
      </c>
      <c r="H239" s="375">
        <v>0</v>
      </c>
      <c r="I239" s="327">
        <v>0</v>
      </c>
      <c r="J239" s="331" t="s">
        <v>669</v>
      </c>
      <c r="K239" s="332">
        <v>30</v>
      </c>
      <c r="L239" s="333">
        <v>30</v>
      </c>
      <c r="M239" s="333">
        <v>30</v>
      </c>
      <c r="N239" s="333">
        <v>30</v>
      </c>
      <c r="O239" s="334">
        <v>22.220959999999998</v>
      </c>
    </row>
    <row r="240" spans="1:15" ht="25.4" customHeight="1">
      <c r="A240" s="416" t="s">
        <v>1050</v>
      </c>
      <c r="B240" s="328">
        <v>9</v>
      </c>
      <c r="C240" s="329">
        <v>100</v>
      </c>
      <c r="D240" s="330">
        <v>943000</v>
      </c>
      <c r="E240" s="372" t="s">
        <v>28</v>
      </c>
      <c r="F240" s="373">
        <f t="shared" si="3"/>
        <v>5</v>
      </c>
      <c r="G240" s="374">
        <v>0</v>
      </c>
      <c r="H240" s="375">
        <v>5</v>
      </c>
      <c r="I240" s="327">
        <v>5</v>
      </c>
      <c r="J240" s="331" t="s">
        <v>669</v>
      </c>
      <c r="K240" s="332">
        <v>770</v>
      </c>
      <c r="L240" s="333">
        <v>750</v>
      </c>
      <c r="M240" s="333">
        <v>793</v>
      </c>
      <c r="N240" s="333">
        <v>809</v>
      </c>
      <c r="O240" s="334">
        <v>697.61858999999993</v>
      </c>
    </row>
    <row r="241" spans="1:15" ht="25.4" customHeight="1">
      <c r="A241" s="416" t="s">
        <v>483</v>
      </c>
      <c r="B241" s="328">
        <v>4</v>
      </c>
      <c r="C241" s="329">
        <v>100</v>
      </c>
      <c r="D241" s="330">
        <v>972000</v>
      </c>
      <c r="E241" s="378" t="s">
        <v>1351</v>
      </c>
      <c r="F241" s="373">
        <f t="shared" si="3"/>
        <v>0</v>
      </c>
      <c r="G241" s="374">
        <v>0</v>
      </c>
      <c r="H241" s="375">
        <v>0</v>
      </c>
      <c r="I241" s="327">
        <v>0.66666666666666674</v>
      </c>
      <c r="J241" s="331" t="s">
        <v>669</v>
      </c>
      <c r="K241" s="332">
        <v>0</v>
      </c>
      <c r="L241" s="333">
        <v>75</v>
      </c>
      <c r="M241" s="333">
        <v>190</v>
      </c>
      <c r="N241" s="333">
        <v>190</v>
      </c>
      <c r="O241" s="334">
        <v>180.34542000000002</v>
      </c>
    </row>
    <row r="242" spans="1:15" ht="25.4" customHeight="1">
      <c r="A242" s="416" t="s">
        <v>107</v>
      </c>
      <c r="B242" s="328">
        <v>4</v>
      </c>
      <c r="C242" s="329">
        <v>100</v>
      </c>
      <c r="D242" s="330">
        <v>973000</v>
      </c>
      <c r="E242" s="372" t="s">
        <v>1351</v>
      </c>
      <c r="F242" s="373">
        <f t="shared" si="3"/>
        <v>5</v>
      </c>
      <c r="G242" s="374">
        <v>0</v>
      </c>
      <c r="H242" s="375">
        <v>5</v>
      </c>
      <c r="I242" s="327">
        <v>6.9780833333333341</v>
      </c>
      <c r="J242" s="331" t="s">
        <v>669</v>
      </c>
      <c r="K242" s="332">
        <v>1350</v>
      </c>
      <c r="L242" s="333">
        <v>1530</v>
      </c>
      <c r="M242" s="333">
        <v>1684</v>
      </c>
      <c r="N242" s="333">
        <v>1684</v>
      </c>
      <c r="O242" s="334">
        <v>1525.2052099999999</v>
      </c>
    </row>
    <row r="243" spans="1:15" ht="25.4" customHeight="1">
      <c r="A243" s="416" t="s">
        <v>107</v>
      </c>
      <c r="B243" s="328">
        <v>4</v>
      </c>
      <c r="C243" s="329">
        <v>127</v>
      </c>
      <c r="D243" s="330">
        <v>973000</v>
      </c>
      <c r="E243" s="372" t="s">
        <v>1352</v>
      </c>
      <c r="F243" s="373">
        <f t="shared" si="3"/>
        <v>0</v>
      </c>
      <c r="G243" s="374">
        <v>0</v>
      </c>
      <c r="H243" s="375">
        <v>0</v>
      </c>
      <c r="I243" s="327">
        <v>0</v>
      </c>
      <c r="J243" s="331" t="s">
        <v>669</v>
      </c>
      <c r="K243" s="332">
        <v>6</v>
      </c>
      <c r="L243" s="333">
        <v>6</v>
      </c>
      <c r="M243" s="333">
        <v>6</v>
      </c>
      <c r="N243" s="333">
        <v>6</v>
      </c>
      <c r="O243" s="334">
        <v>2.11456</v>
      </c>
    </row>
    <row r="244" spans="1:15" ht="25.4" customHeight="1">
      <c r="A244" s="416" t="s">
        <v>332</v>
      </c>
      <c r="B244" s="328">
        <v>7</v>
      </c>
      <c r="C244" s="329">
        <v>100</v>
      </c>
      <c r="D244" s="330">
        <v>993000</v>
      </c>
      <c r="E244" s="372" t="s">
        <v>1729</v>
      </c>
      <c r="F244" s="373">
        <f t="shared" si="3"/>
        <v>0</v>
      </c>
      <c r="G244" s="374">
        <v>0</v>
      </c>
      <c r="H244" s="375"/>
      <c r="I244" s="327"/>
      <c r="J244" s="331" t="s">
        <v>669</v>
      </c>
      <c r="K244" s="332">
        <v>250</v>
      </c>
      <c r="L244" s="333">
        <v>200</v>
      </c>
      <c r="M244" s="333">
        <v>250</v>
      </c>
      <c r="N244" s="333">
        <v>250</v>
      </c>
      <c r="O244" s="334">
        <v>176.1754</v>
      </c>
    </row>
    <row r="245" spans="1:15" ht="25.4" customHeight="1">
      <c r="A245" s="416" t="s">
        <v>909</v>
      </c>
      <c r="B245" s="328">
        <v>1</v>
      </c>
      <c r="C245" s="329">
        <v>101</v>
      </c>
      <c r="D245" s="330">
        <v>994000</v>
      </c>
      <c r="E245" s="379" t="s">
        <v>1599</v>
      </c>
      <c r="F245" s="373">
        <f t="shared" si="3"/>
        <v>2.33</v>
      </c>
      <c r="G245" s="374">
        <v>0</v>
      </c>
      <c r="H245" s="375">
        <v>2.33</v>
      </c>
      <c r="I245" s="327">
        <v>0</v>
      </c>
      <c r="J245" s="331" t="s">
        <v>669</v>
      </c>
      <c r="K245" s="332">
        <v>470</v>
      </c>
      <c r="L245" s="333">
        <v>0</v>
      </c>
      <c r="M245" s="333">
        <v>308</v>
      </c>
      <c r="N245" s="333">
        <v>628</v>
      </c>
      <c r="O245" s="334">
        <v>0</v>
      </c>
    </row>
    <row r="246" spans="1:15" ht="25.4" customHeight="1">
      <c r="A246" s="417" t="s">
        <v>909</v>
      </c>
      <c r="B246" s="328">
        <v>7</v>
      </c>
      <c r="C246" s="329">
        <v>182</v>
      </c>
      <c r="D246" s="330">
        <v>994000</v>
      </c>
      <c r="E246" s="372" t="s">
        <v>910</v>
      </c>
      <c r="F246" s="373">
        <f t="shared" si="3"/>
        <v>0</v>
      </c>
      <c r="G246" s="374">
        <v>0</v>
      </c>
      <c r="H246" s="375"/>
      <c r="I246" s="327"/>
      <c r="J246" s="331" t="s">
        <v>669</v>
      </c>
      <c r="K246" s="332">
        <v>550</v>
      </c>
      <c r="L246" s="333">
        <v>500</v>
      </c>
      <c r="M246" s="333">
        <v>514</v>
      </c>
      <c r="N246" s="333">
        <v>514</v>
      </c>
      <c r="O246" s="334">
        <v>459.72740000000005</v>
      </c>
    </row>
    <row r="247" spans="1:15" ht="25.4" customHeight="1">
      <c r="A247" s="417" t="s">
        <v>347</v>
      </c>
      <c r="B247" s="328">
        <v>7</v>
      </c>
      <c r="C247" s="329">
        <v>310</v>
      </c>
      <c r="D247" s="330">
        <v>997200</v>
      </c>
      <c r="E247" s="372" t="s">
        <v>826</v>
      </c>
      <c r="F247" s="373">
        <f t="shared" si="3"/>
        <v>179.98</v>
      </c>
      <c r="G247" s="374">
        <v>0</v>
      </c>
      <c r="H247" s="375">
        <v>179.98</v>
      </c>
      <c r="I247" s="327">
        <v>179.98493333333329</v>
      </c>
      <c r="J247" s="331" t="s">
        <v>669</v>
      </c>
      <c r="K247" s="332">
        <v>31000</v>
      </c>
      <c r="L247" s="333">
        <v>29000</v>
      </c>
      <c r="M247" s="333">
        <v>30050</v>
      </c>
      <c r="N247" s="333">
        <v>30500</v>
      </c>
      <c r="O247" s="334">
        <v>27426.975030000001</v>
      </c>
    </row>
    <row r="248" spans="1:15" ht="25.4" customHeight="1" thickBot="1">
      <c r="A248" s="419" t="s">
        <v>347</v>
      </c>
      <c r="B248" s="420">
        <v>7</v>
      </c>
      <c r="C248" s="421">
        <v>320</v>
      </c>
      <c r="D248" s="422">
        <v>997200</v>
      </c>
      <c r="E248" s="572" t="s">
        <v>827</v>
      </c>
      <c r="F248" s="423">
        <f t="shared" si="3"/>
        <v>0</v>
      </c>
      <c r="G248" s="424">
        <v>0</v>
      </c>
      <c r="H248" s="425">
        <v>0</v>
      </c>
      <c r="I248" s="573">
        <v>0</v>
      </c>
      <c r="J248" s="426" t="s">
        <v>669</v>
      </c>
      <c r="K248" s="427">
        <v>4450</v>
      </c>
      <c r="L248" s="428">
        <v>3700</v>
      </c>
      <c r="M248" s="428">
        <v>4565</v>
      </c>
      <c r="N248" s="428">
        <v>4715</v>
      </c>
      <c r="O248" s="429">
        <v>3666.44236</v>
      </c>
    </row>
    <row r="249" spans="1:15" ht="25.4" customHeight="1">
      <c r="E249" s="405" t="s">
        <v>595</v>
      </c>
      <c r="F249" s="406">
        <f>SUM(F3:F248)</f>
        <v>2321.2299999999991</v>
      </c>
      <c r="G249" s="406">
        <f>SUM(G3:G248)</f>
        <v>248.53</v>
      </c>
      <c r="H249" s="406">
        <f>SUM(H3:H248)</f>
        <v>2569.7599999999993</v>
      </c>
      <c r="I249" s="406">
        <f>SUM(I3:I248)</f>
        <v>2346.6445500000004</v>
      </c>
      <c r="J249" s="407"/>
      <c r="K249" s="407">
        <f>SUM(K3:K248)</f>
        <v>464750</v>
      </c>
      <c r="L249" s="407">
        <f>SUM(L3:L248)</f>
        <v>432970</v>
      </c>
      <c r="M249" s="407">
        <f>SUM(M3:M248)</f>
        <v>452804</v>
      </c>
      <c r="N249" s="407">
        <f>SUM(N3:N248)</f>
        <v>451138</v>
      </c>
      <c r="O249" s="407">
        <f>SUM(O3:O248)</f>
        <v>400710.00702000002</v>
      </c>
    </row>
    <row r="250" spans="1:15" ht="65.25" customHeight="1">
      <c r="E250" s="1100" t="s">
        <v>1703</v>
      </c>
      <c r="K250" s="406"/>
    </row>
    <row r="251" spans="1:15" ht="25.4" customHeight="1">
      <c r="E251" s="1100" t="s">
        <v>1704</v>
      </c>
    </row>
    <row r="254" spans="1:15" s="580" customFormat="1" ht="25.4" customHeight="1">
      <c r="A254" s="579"/>
      <c r="F254" s="581"/>
      <c r="H254" s="582"/>
      <c r="I254" s="582"/>
      <c r="K254" s="583"/>
      <c r="L254" s="583"/>
    </row>
    <row r="255" spans="1:15" s="580" customFormat="1" ht="25.4" customHeight="1">
      <c r="A255" s="579"/>
      <c r="F255" s="584"/>
      <c r="H255" s="585"/>
      <c r="I255" s="585"/>
      <c r="J255" s="585"/>
      <c r="K255" s="585"/>
      <c r="L255" s="585"/>
    </row>
    <row r="256" spans="1:15" s="580" customFormat="1" ht="25.4" customHeight="1">
      <c r="A256" s="579"/>
      <c r="K256" s="583"/>
    </row>
    <row r="257" spans="1:11" s="580" customFormat="1" ht="25.4" customHeight="1">
      <c r="A257" s="579"/>
      <c r="K257" s="585"/>
    </row>
  </sheetData>
  <autoFilter ref="A2:O250"/>
  <mergeCells count="1">
    <mergeCell ref="F1:G1"/>
  </mergeCells>
  <conditionalFormatting sqref="H255:L255">
    <cfRule type="cellIs" dxfId="3" priority="3" stopIfTrue="1" operator="notEqual">
      <formula>0</formula>
    </cfRule>
    <cfRule type="cellIs" dxfId="2" priority="4" stopIfTrue="1" operator="equal">
      <formula>0</formula>
    </cfRule>
  </conditionalFormatting>
  <conditionalFormatting sqref="K257">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1181102362204722" top="1.1023622047244095" bottom="0.55118110236220474" header="0.43307086614173229" footer="0.27559055118110237"/>
  <pageSetup scale="80" orientation="landscape" r:id="rId1"/>
  <headerFooter alignWithMargins="0">
    <oddHeader xml:space="preserve">&amp;L&amp;"Guttman Adii,רגיל"&amp;12&amp;D&amp;R&amp;"David,מודגש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ignoredErrors>
    <ignoredError sqref="F3:F24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rightToLeft="1" view="pageBreakPreview" zoomScale="90" zoomScaleNormal="100" zoomScaleSheetLayoutView="90" workbookViewId="0">
      <selection activeCell="D68" sqref="D68"/>
    </sheetView>
  </sheetViews>
  <sheetFormatPr defaultColWidth="9" defaultRowHeight="14"/>
  <cols>
    <col min="1" max="1" width="31.58203125" style="1" customWidth="1"/>
    <col min="2" max="2" width="12.58203125" style="1" customWidth="1"/>
    <col min="3" max="3" width="28.5" style="1" customWidth="1"/>
    <col min="4" max="4" width="9" style="80"/>
    <col min="5" max="16384" width="9" style="1"/>
  </cols>
  <sheetData>
    <row r="1" spans="1:5" ht="22.5" customHeight="1">
      <c r="B1" s="40" t="s">
        <v>2233</v>
      </c>
      <c r="C1" s="40"/>
      <c r="D1" s="70"/>
    </row>
    <row r="2" spans="1:5" ht="19.5" customHeight="1">
      <c r="B2" s="40"/>
      <c r="C2" s="138"/>
      <c r="D2" s="70"/>
    </row>
    <row r="3" spans="1:5" ht="27" customHeight="1">
      <c r="B3" s="71" t="s">
        <v>933</v>
      </c>
      <c r="C3" s="71"/>
      <c r="D3" s="72" t="s">
        <v>882</v>
      </c>
    </row>
    <row r="4" spans="1:5" ht="24.75" customHeight="1">
      <c r="B4" s="73" t="s">
        <v>895</v>
      </c>
      <c r="C4" s="74"/>
      <c r="D4" s="81" t="s">
        <v>2324</v>
      </c>
      <c r="E4" s="84"/>
    </row>
    <row r="5" spans="1:5" ht="21" customHeight="1">
      <c r="B5" s="75" t="s">
        <v>270</v>
      </c>
      <c r="C5" s="74"/>
      <c r="D5" s="81" t="s">
        <v>1792</v>
      </c>
    </row>
    <row r="6" spans="1:5" ht="21" customHeight="1">
      <c r="B6" s="75" t="s">
        <v>271</v>
      </c>
      <c r="C6" s="74"/>
      <c r="D6" s="81" t="s">
        <v>2325</v>
      </c>
    </row>
    <row r="7" spans="1:5" ht="21" customHeight="1">
      <c r="B7" s="75" t="s">
        <v>705</v>
      </c>
      <c r="C7" s="74"/>
      <c r="D7" s="81" t="s">
        <v>2326</v>
      </c>
    </row>
    <row r="8" spans="1:5" ht="21" customHeight="1">
      <c r="B8" s="75" t="s">
        <v>124</v>
      </c>
      <c r="C8" s="74"/>
      <c r="D8" s="81" t="s">
        <v>2327</v>
      </c>
    </row>
    <row r="9" spans="1:5" ht="21" customHeight="1">
      <c r="A9" s="99"/>
      <c r="B9" s="75" t="s">
        <v>81</v>
      </c>
      <c r="C9" s="74"/>
      <c r="D9" s="119">
        <v>29</v>
      </c>
    </row>
    <row r="10" spans="1:5" ht="21" customHeight="1">
      <c r="A10" s="99" t="s">
        <v>1970</v>
      </c>
      <c r="B10" s="75" t="s">
        <v>706</v>
      </c>
      <c r="C10" s="74"/>
      <c r="D10" s="119">
        <v>30</v>
      </c>
    </row>
    <row r="11" spans="1:5" ht="29.25" customHeight="1">
      <c r="B11" s="76" t="s">
        <v>707</v>
      </c>
      <c r="C11" s="77"/>
    </row>
    <row r="12" spans="1:5" ht="23.25" customHeight="1">
      <c r="B12" s="74" t="s">
        <v>792</v>
      </c>
      <c r="C12" s="75"/>
      <c r="D12" s="120">
        <v>31</v>
      </c>
    </row>
    <row r="13" spans="1:5" ht="21" customHeight="1">
      <c r="B13" s="75"/>
      <c r="C13" s="75" t="s">
        <v>55</v>
      </c>
      <c r="D13" s="119">
        <v>31</v>
      </c>
    </row>
    <row r="14" spans="1:5" ht="21" customHeight="1">
      <c r="B14" s="75"/>
      <c r="C14" s="75" t="s">
        <v>56</v>
      </c>
      <c r="D14" s="119">
        <v>31</v>
      </c>
    </row>
    <row r="15" spans="1:5" ht="21" customHeight="1">
      <c r="B15" s="74" t="s">
        <v>57</v>
      </c>
      <c r="C15" s="75"/>
      <c r="D15" s="120" t="s">
        <v>2328</v>
      </c>
    </row>
    <row r="16" spans="1:5" ht="21" customHeight="1">
      <c r="B16" s="74"/>
      <c r="C16" s="75" t="s">
        <v>125</v>
      </c>
      <c r="D16" s="119">
        <v>32</v>
      </c>
    </row>
    <row r="17" spans="2:4" ht="21" customHeight="1">
      <c r="B17" s="74"/>
      <c r="C17" s="75" t="s">
        <v>499</v>
      </c>
      <c r="D17" s="119">
        <v>32</v>
      </c>
    </row>
    <row r="18" spans="2:4" ht="21" customHeight="1">
      <c r="B18" s="74"/>
      <c r="C18" s="75" t="s">
        <v>126</v>
      </c>
      <c r="D18" s="119">
        <v>33</v>
      </c>
    </row>
    <row r="19" spans="2:4" ht="21" customHeight="1">
      <c r="B19" s="74"/>
      <c r="C19" s="75" t="s">
        <v>127</v>
      </c>
      <c r="D19" s="119">
        <v>33</v>
      </c>
    </row>
    <row r="20" spans="2:4" ht="21" customHeight="1">
      <c r="B20" s="74"/>
      <c r="C20" s="75" t="s">
        <v>128</v>
      </c>
      <c r="D20" s="119">
        <v>34</v>
      </c>
    </row>
    <row r="21" spans="2:4" ht="21" customHeight="1">
      <c r="B21" s="74"/>
      <c r="C21" s="75" t="s">
        <v>129</v>
      </c>
      <c r="D21" s="119">
        <v>34</v>
      </c>
    </row>
    <row r="22" spans="2:4" ht="21" customHeight="1">
      <c r="B22" s="74"/>
      <c r="C22" s="75" t="s">
        <v>130</v>
      </c>
      <c r="D22" s="119">
        <v>34</v>
      </c>
    </row>
    <row r="23" spans="2:4" ht="33" customHeight="1">
      <c r="B23" s="78" t="s">
        <v>131</v>
      </c>
      <c r="C23" s="59"/>
      <c r="D23" s="83"/>
    </row>
    <row r="24" spans="2:4" ht="32.25" customHeight="1">
      <c r="B24" s="74" t="s">
        <v>14</v>
      </c>
      <c r="C24" s="74"/>
      <c r="D24" s="82" t="s">
        <v>2329</v>
      </c>
    </row>
    <row r="25" spans="2:4" ht="21" customHeight="1">
      <c r="B25" s="74"/>
      <c r="C25" s="75" t="s">
        <v>15</v>
      </c>
      <c r="D25" s="81" t="s">
        <v>2330</v>
      </c>
    </row>
    <row r="26" spans="2:4" ht="21" customHeight="1">
      <c r="B26" s="74"/>
      <c r="C26" s="75" t="s">
        <v>16</v>
      </c>
      <c r="D26" s="81" t="s">
        <v>2331</v>
      </c>
    </row>
    <row r="27" spans="2:4" ht="21" customHeight="1">
      <c r="B27" s="74"/>
      <c r="C27" s="75" t="s">
        <v>17</v>
      </c>
      <c r="D27" s="81" t="s">
        <v>2011</v>
      </c>
    </row>
    <row r="28" spans="2:4" ht="21" customHeight="1">
      <c r="B28" s="74"/>
      <c r="C28" s="75" t="s">
        <v>1</v>
      </c>
      <c r="D28" s="81" t="s">
        <v>2332</v>
      </c>
    </row>
    <row r="29" spans="2:4" ht="21" customHeight="1">
      <c r="B29" s="74"/>
      <c r="C29" s="75" t="s">
        <v>1149</v>
      </c>
      <c r="D29" s="119">
        <v>50</v>
      </c>
    </row>
    <row r="30" spans="2:4" ht="21" customHeight="1">
      <c r="B30" s="74"/>
      <c r="C30" s="75" t="s">
        <v>94</v>
      </c>
      <c r="D30" s="119">
        <v>50</v>
      </c>
    </row>
    <row r="31" spans="2:4" ht="38.25" customHeight="1">
      <c r="B31" s="74" t="s">
        <v>737</v>
      </c>
      <c r="C31" s="74"/>
      <c r="D31" s="120">
        <v>51</v>
      </c>
    </row>
    <row r="32" spans="2:4" ht="21" customHeight="1">
      <c r="B32" s="74"/>
      <c r="C32" s="75" t="s">
        <v>95</v>
      </c>
      <c r="D32" s="119">
        <v>51</v>
      </c>
    </row>
    <row r="33" spans="2:4" ht="21" customHeight="1">
      <c r="B33" s="74"/>
      <c r="C33" s="75" t="s">
        <v>2349</v>
      </c>
      <c r="D33" s="119">
        <v>51</v>
      </c>
    </row>
    <row r="34" spans="2:4" ht="21" customHeight="1">
      <c r="B34" s="74"/>
      <c r="C34" s="75" t="s">
        <v>1176</v>
      </c>
      <c r="D34" s="119">
        <v>51</v>
      </c>
    </row>
    <row r="35" spans="2:4" ht="21" customHeight="1">
      <c r="B35" s="74"/>
      <c r="C35" s="75" t="s">
        <v>1177</v>
      </c>
      <c r="D35" s="119">
        <v>51</v>
      </c>
    </row>
    <row r="36" spans="2:4" ht="39" customHeight="1">
      <c r="B36" s="74" t="s">
        <v>262</v>
      </c>
      <c r="C36" s="74"/>
      <c r="D36" s="120">
        <v>52</v>
      </c>
    </row>
    <row r="37" spans="2:4" ht="42.75" customHeight="1">
      <c r="B37" s="76" t="s">
        <v>1178</v>
      </c>
      <c r="C37" s="77"/>
    </row>
    <row r="38" spans="2:4" ht="27.75" customHeight="1">
      <c r="B38" s="74" t="s">
        <v>1180</v>
      </c>
      <c r="C38" s="75"/>
      <c r="D38" s="120" t="s">
        <v>2333</v>
      </c>
    </row>
    <row r="39" spans="2:4" ht="21" customHeight="1">
      <c r="B39" s="74"/>
      <c r="C39" s="75" t="s">
        <v>495</v>
      </c>
      <c r="D39" s="119" t="s">
        <v>2334</v>
      </c>
    </row>
    <row r="40" spans="2:4" ht="21" customHeight="1">
      <c r="B40" s="74"/>
      <c r="C40" s="75" t="s">
        <v>496</v>
      </c>
      <c r="D40" s="119" t="s">
        <v>2335</v>
      </c>
    </row>
    <row r="41" spans="2:4" ht="21" customHeight="1">
      <c r="B41" s="74"/>
      <c r="C41" s="75" t="s">
        <v>497</v>
      </c>
      <c r="D41" s="119">
        <v>63</v>
      </c>
    </row>
    <row r="42" spans="2:4" ht="21" customHeight="1">
      <c r="B42" s="74"/>
      <c r="C42" s="75" t="s">
        <v>1071</v>
      </c>
      <c r="D42" s="119" t="s">
        <v>2336</v>
      </c>
    </row>
    <row r="43" spans="2:4" ht="27.75" customHeight="1">
      <c r="B43" s="74" t="s">
        <v>57</v>
      </c>
      <c r="C43" s="75"/>
      <c r="D43" s="120" t="s">
        <v>2350</v>
      </c>
    </row>
    <row r="44" spans="2:4" ht="21" customHeight="1">
      <c r="B44" s="74"/>
      <c r="C44" s="75" t="s">
        <v>125</v>
      </c>
      <c r="D44" s="119" t="s">
        <v>2337</v>
      </c>
    </row>
    <row r="45" spans="2:4" ht="21" customHeight="1">
      <c r="B45" s="74"/>
      <c r="C45" s="75" t="s">
        <v>499</v>
      </c>
      <c r="D45" s="119" t="s">
        <v>1793</v>
      </c>
    </row>
    <row r="46" spans="2:4" ht="21" customHeight="1">
      <c r="B46" s="74"/>
      <c r="C46" s="75" t="s">
        <v>126</v>
      </c>
      <c r="D46" s="119" t="s">
        <v>2338</v>
      </c>
    </row>
    <row r="47" spans="2:4" ht="21" customHeight="1">
      <c r="B47" s="74"/>
      <c r="C47" s="75" t="s">
        <v>127</v>
      </c>
      <c r="D47" s="119" t="s">
        <v>2339</v>
      </c>
    </row>
    <row r="48" spans="2:4" ht="21" customHeight="1">
      <c r="B48" s="74"/>
      <c r="C48" s="75" t="s">
        <v>1897</v>
      </c>
      <c r="D48" s="119" t="s">
        <v>2351</v>
      </c>
    </row>
    <row r="49" spans="2:4" ht="21" customHeight="1">
      <c r="B49" s="74"/>
      <c r="C49" s="75" t="s">
        <v>123</v>
      </c>
      <c r="D49" s="119" t="s">
        <v>2340</v>
      </c>
    </row>
    <row r="50" spans="2:4" ht="21" customHeight="1">
      <c r="B50" s="74"/>
      <c r="C50" s="75" t="s">
        <v>363</v>
      </c>
      <c r="D50" s="119">
        <v>83</v>
      </c>
    </row>
    <row r="51" spans="2:4" ht="21" customHeight="1">
      <c r="B51" s="74"/>
      <c r="C51" s="75" t="s">
        <v>129</v>
      </c>
      <c r="D51" s="119">
        <v>84</v>
      </c>
    </row>
    <row r="52" spans="2:4" ht="21" customHeight="1">
      <c r="B52" s="74"/>
      <c r="C52" s="75" t="s">
        <v>130</v>
      </c>
      <c r="D52" s="119">
        <v>84</v>
      </c>
    </row>
    <row r="53" spans="2:4" ht="36" customHeight="1">
      <c r="B53" s="78" t="s">
        <v>490</v>
      </c>
      <c r="C53" s="59"/>
      <c r="D53" s="121"/>
    </row>
    <row r="54" spans="2:4" ht="30" customHeight="1">
      <c r="B54" s="74" t="s">
        <v>14</v>
      </c>
      <c r="C54" s="74"/>
      <c r="D54" s="120" t="s">
        <v>2341</v>
      </c>
    </row>
    <row r="55" spans="2:4" ht="21" customHeight="1">
      <c r="B55" s="74"/>
      <c r="C55" s="75" t="s">
        <v>15</v>
      </c>
      <c r="D55" s="119" t="s">
        <v>2352</v>
      </c>
    </row>
    <row r="56" spans="2:4" ht="21" customHeight="1">
      <c r="B56" s="74"/>
      <c r="C56" s="75" t="s">
        <v>16</v>
      </c>
      <c r="D56" s="119" t="s">
        <v>2353</v>
      </c>
    </row>
    <row r="57" spans="2:4" ht="21" customHeight="1">
      <c r="B57" s="74"/>
      <c r="C57" s="75" t="s">
        <v>17</v>
      </c>
      <c r="D57" s="119" t="s">
        <v>2342</v>
      </c>
    </row>
    <row r="58" spans="2:4" ht="21" customHeight="1">
      <c r="B58" s="74"/>
      <c r="C58" s="75" t="s">
        <v>1</v>
      </c>
      <c r="D58" s="119" t="s">
        <v>2343</v>
      </c>
    </row>
    <row r="59" spans="2:4" ht="21" customHeight="1">
      <c r="B59" s="74"/>
      <c r="C59" s="75" t="s">
        <v>814</v>
      </c>
      <c r="D59" s="119">
        <v>136</v>
      </c>
    </row>
    <row r="60" spans="2:4" ht="21" customHeight="1">
      <c r="B60" s="74"/>
      <c r="C60" s="75" t="s">
        <v>1149</v>
      </c>
      <c r="D60" s="119">
        <v>137</v>
      </c>
    </row>
    <row r="61" spans="2:4" ht="21" customHeight="1">
      <c r="B61" s="74"/>
      <c r="C61" s="75" t="s">
        <v>94</v>
      </c>
      <c r="D61" s="119">
        <v>138</v>
      </c>
    </row>
    <row r="62" spans="2:4" ht="31.5" customHeight="1">
      <c r="B62" s="74" t="s">
        <v>694</v>
      </c>
      <c r="C62" s="74"/>
      <c r="D62" s="120" t="s">
        <v>2344</v>
      </c>
    </row>
    <row r="63" spans="2:4" ht="21" customHeight="1">
      <c r="B63" s="74"/>
      <c r="C63" s="75" t="s">
        <v>95</v>
      </c>
      <c r="D63" s="119">
        <v>139</v>
      </c>
    </row>
    <row r="64" spans="2:4" ht="16.5" customHeight="1">
      <c r="B64" s="79"/>
      <c r="C64" s="95" t="s">
        <v>602</v>
      </c>
      <c r="D64" s="1101" t="s">
        <v>2345</v>
      </c>
    </row>
    <row r="65" spans="2:4" ht="12.75" customHeight="1">
      <c r="B65" s="74"/>
      <c r="C65" s="75" t="s">
        <v>593</v>
      </c>
      <c r="D65" s="119"/>
    </row>
    <row r="66" spans="2:4" ht="21" customHeight="1">
      <c r="B66" s="74"/>
      <c r="C66" s="75" t="s">
        <v>1176</v>
      </c>
      <c r="D66" s="119">
        <v>143</v>
      </c>
    </row>
    <row r="67" spans="2:4" ht="21" customHeight="1">
      <c r="B67" s="74"/>
      <c r="C67" s="75" t="s">
        <v>1013</v>
      </c>
      <c r="D67" s="119">
        <v>144</v>
      </c>
    </row>
    <row r="68" spans="2:4" ht="21" customHeight="1">
      <c r="B68" s="74"/>
      <c r="C68" s="75" t="s">
        <v>695</v>
      </c>
      <c r="D68" s="119" t="s">
        <v>2346</v>
      </c>
    </row>
    <row r="69" spans="2:4" s="216" customFormat="1" ht="28.5" customHeight="1">
      <c r="B69" s="350" t="s">
        <v>491</v>
      </c>
      <c r="C69" s="350"/>
      <c r="D69" s="351" t="s">
        <v>2347</v>
      </c>
    </row>
    <row r="70" spans="2:4" s="216" customFormat="1" ht="28.5" customHeight="1">
      <c r="B70" s="350" t="s">
        <v>1693</v>
      </c>
      <c r="C70" s="350"/>
      <c r="D70" s="351" t="s">
        <v>2348</v>
      </c>
    </row>
    <row r="71" spans="2:4" ht="24" customHeight="1"/>
    <row r="72" spans="2:4" ht="24" customHeight="1"/>
    <row r="73" spans="2:4" ht="24" customHeight="1"/>
    <row r="74" spans="2:4" ht="24" customHeight="1"/>
  </sheetData>
  <phoneticPr fontId="12"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2" max="16383" man="1"/>
    <brk id="36" max="16383" man="1"/>
    <brk id="52" max="16383" man="1"/>
    <brk id="217" max="16383" man="1"/>
    <brk id="229" max="16383" man="1"/>
    <brk id="11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18"/>
  <sheetViews>
    <sheetView showGridLines="0" rightToLeft="1" view="pageBreakPreview" zoomScale="90" zoomScaleNormal="90" zoomScaleSheetLayoutView="90" workbookViewId="0">
      <selection activeCell="C70" sqref="C70"/>
    </sheetView>
  </sheetViews>
  <sheetFormatPr defaultColWidth="9" defaultRowHeight="14"/>
  <cols>
    <col min="1" max="1" width="3.08203125" style="216" customWidth="1"/>
    <col min="2" max="2" width="10.5" style="216" customWidth="1"/>
    <col min="3" max="3" width="19.58203125" style="216" customWidth="1"/>
    <col min="4" max="6" width="10.08203125" style="216" customWidth="1"/>
    <col min="7" max="7" width="10.58203125" style="216" customWidth="1"/>
    <col min="8" max="8" width="10.08203125" style="216" customWidth="1"/>
    <col min="9" max="9" width="3.58203125" style="216" customWidth="1"/>
    <col min="10" max="10" width="9" style="216"/>
    <col min="11" max="11" width="8.5" style="216" customWidth="1"/>
    <col min="12" max="12" width="8.08203125" style="216" customWidth="1"/>
    <col min="13" max="16384" width="9" style="216"/>
  </cols>
  <sheetData>
    <row r="1" spans="1:14" ht="18.75" customHeight="1">
      <c r="B1" s="217" t="str">
        <f>תוכן!B1</f>
        <v>הצעת התקציב הרגיל לשנת 2021</v>
      </c>
      <c r="C1" s="218"/>
      <c r="D1" s="219"/>
      <c r="E1" s="219"/>
      <c r="F1" s="219"/>
      <c r="G1" s="219"/>
      <c r="H1" s="219"/>
      <c r="I1" s="219"/>
    </row>
    <row r="2" spans="1:14" ht="18">
      <c r="B2" s="220"/>
      <c r="C2" s="221"/>
      <c r="D2" s="219"/>
      <c r="E2" s="219"/>
      <c r="F2" s="219"/>
      <c r="G2" s="219"/>
      <c r="H2" s="219"/>
      <c r="I2" s="219"/>
    </row>
    <row r="3" spans="1:14" ht="19.5" customHeight="1" thickBot="1"/>
    <row r="4" spans="1:14" ht="18.75" customHeight="1">
      <c r="B4" s="1106" t="s">
        <v>492</v>
      </c>
      <c r="C4" s="1107"/>
      <c r="D4" s="222" t="str">
        <f>'תקבולים מפורט'!G1</f>
        <v>תקציב</v>
      </c>
      <c r="E4" s="223" t="str">
        <f>'תקבולים מפורט'!H1</f>
        <v>אומדן</v>
      </c>
      <c r="F4" s="222" t="str">
        <f>'תקבולים מפורט'!I1</f>
        <v xml:space="preserve">תקציב </v>
      </c>
      <c r="G4" s="223" t="str">
        <f>'תקבולים מפורט'!J1</f>
        <v>תקציב</v>
      </c>
      <c r="H4" s="224" t="str">
        <f>'תקבולים מפורט'!K1</f>
        <v>ביצוע</v>
      </c>
      <c r="I4" s="225"/>
    </row>
    <row r="5" spans="1:14" ht="18.75" customHeight="1" thickBot="1">
      <c r="B5" s="1108"/>
      <c r="C5" s="1109"/>
      <c r="D5" s="226" t="str">
        <f>'תקבולים מפורט'!G2</f>
        <v>2021</v>
      </c>
      <c r="E5" s="227" t="str">
        <f>'תקבולים מפורט'!H2</f>
        <v>2020</v>
      </c>
      <c r="F5" s="226" t="str">
        <f>'תקבולים מפורט'!I2</f>
        <v>סופי 2020</v>
      </c>
      <c r="G5" s="227" t="str">
        <f>'תקבולים מפורט'!J2</f>
        <v>מקורי 2020</v>
      </c>
      <c r="H5" s="228" t="str">
        <f>'תקבולים מפורט'!K2</f>
        <v>2019</v>
      </c>
      <c r="I5" s="225"/>
    </row>
    <row r="6" spans="1:14" ht="21" customHeight="1">
      <c r="A6" s="229"/>
      <c r="B6" s="230" t="s">
        <v>494</v>
      </c>
      <c r="C6" s="231"/>
      <c r="D6" s="232">
        <f>SUMIF('תקבולים מפורט'!$D$3:$D$413,"&gt;0",'תקבולים מפורט'!G$3:G$413)-D10</f>
        <v>755217</v>
      </c>
      <c r="E6" s="232">
        <f>SUMIF('תקבולים מפורט'!$D$3:$D$413,"&gt;0",'תקבולים מפורט'!H$3:H$413)-E10</f>
        <v>723326</v>
      </c>
      <c r="F6" s="232">
        <f>SUMIF('תקבולים מפורט'!$D$3:$D$413,"&gt;0",'תקבולים מפורט'!I$3:I$413)-F10</f>
        <v>739186</v>
      </c>
      <c r="G6" s="232">
        <f>SUMIF('תקבולים מפורט'!$D$3:$D$413,"&gt;0",'תקבולים מפורט'!J$3:J$413)-G10</f>
        <v>747360</v>
      </c>
      <c r="H6" s="233">
        <f>SUMIF('תקבולים מפורט'!$D$3:$D$413,"&gt;0",'תקבולים מפורט'!K$3:K$413)-H10</f>
        <v>742503.18945999944</v>
      </c>
      <c r="I6" s="234"/>
    </row>
    <row r="7" spans="1:14" ht="21" customHeight="1">
      <c r="B7" s="235" t="s">
        <v>287</v>
      </c>
      <c r="C7" s="139" t="s">
        <v>288</v>
      </c>
      <c r="D7" s="236">
        <f>SUMIF('תקבולים מפורט'!$D$3:$D$413,"&lt;=929",'תקבולים מפורט'!G$3:G$413)-SUMIF('תקבולים מפורט'!$D$3:$D$413,"&lt;920",'תקבולים מפורט'!G$3:G$413)</f>
        <v>199343</v>
      </c>
      <c r="E7" s="236">
        <f>SUMIF('תקבולים מפורט'!$D$3:$D$413,"&lt;=929",'תקבולים מפורט'!H$3:H$413)-SUMIF('תקבולים מפורט'!$D$3:$D$413,"&lt;920",'תקבולים מפורט'!H$3:H$413)</f>
        <v>194003</v>
      </c>
      <c r="F7" s="236">
        <f>SUMIF('תקבולים מפורט'!$D$3:$D$413,"&lt;=929",'תקבולים מפורט'!I$3:I$413)-SUMIF('תקבולים מפורט'!$D$3:$D$413,"&lt;920",'תקבולים מפורט'!I$3:I$413)</f>
        <v>192337</v>
      </c>
      <c r="G7" s="236">
        <f>SUMIF('תקבולים מפורט'!$D$3:$D$413,"&lt;=929",'תקבולים מפורט'!J$3:J$413)-SUMIF('תקבולים מפורט'!$D$3:$D$413,"&lt;920",'תקבולים מפורט'!J$3:J$413)</f>
        <v>181864</v>
      </c>
      <c r="H7" s="237">
        <f>SUMIF('תקבולים מפורט'!$D$3:$D$413,"&lt;=929",'תקבולים מפורט'!K$3:K$413)-SUMIF('תקבולים מפורט'!$D$3:$D$413,"&lt;920",'תקבולים מפורט'!K$3:K$413)</f>
        <v>175327.80403000012</v>
      </c>
      <c r="I7" s="234"/>
    </row>
    <row r="8" spans="1:14" ht="21" customHeight="1">
      <c r="B8" s="235"/>
      <c r="C8" s="139" t="s">
        <v>842</v>
      </c>
      <c r="D8" s="236">
        <f>SUMIF('תקבולים מפורט'!$D$3:$D$413,"&lt;=939",'תקבולים מפורט'!G$3:G$413)-SUMIF('תקבולים מפורט'!$D$3:$D$413,"&lt;930",'תקבולים מפורט'!G$3:G$413)</f>
        <v>69336</v>
      </c>
      <c r="E8" s="236">
        <f>SUMIF('תקבולים מפורט'!$D$3:$D$413,"&lt;=939",'תקבולים מפורט'!H$3:H$413)-SUMIF('תקבולים מפורט'!$D$3:$D$413,"&lt;930",'תקבולים מפורט'!H$3:H$413)</f>
        <v>65777</v>
      </c>
      <c r="F8" s="236">
        <f>SUMIF('תקבולים מפורט'!$D$3:$D$413,"&lt;=939",'תקבולים מפורט'!I$3:I$413)-SUMIF('תקבולים מפורט'!$D$3:$D$413,"&lt;930",'תקבולים מפורט'!I$3:I$413)</f>
        <v>65707</v>
      </c>
      <c r="G8" s="236">
        <f>SUMIF('תקבולים מפורט'!$D$3:$D$413,"&lt;=939",'תקבולים מפורט'!J$3:J$413)-SUMIF('תקבולים מפורט'!$D$3:$D$413,"&lt;930",'תקבולים מפורט'!J$3:J$413)</f>
        <v>65180</v>
      </c>
      <c r="H8" s="237">
        <f>SUMIF('תקבולים מפורט'!$D$3:$D$413,"&lt;=939",'תקבולים מפורט'!K$3:K$413)-SUMIF('תקבולים מפורט'!$D$3:$D$413,"&lt;930",'תקבולים מפורט'!K$3:K$413)</f>
        <v>63827.664999999688</v>
      </c>
      <c r="I8" s="234"/>
    </row>
    <row r="9" spans="1:14" ht="21" customHeight="1">
      <c r="B9" s="238" t="s">
        <v>493</v>
      </c>
      <c r="C9" s="231" t="s">
        <v>289</v>
      </c>
      <c r="D9" s="232">
        <f>SUMIF('תקבולים מפורט'!$D$3:$D$413,"&lt;=999",'תקבולים מפורט'!G$3:G$413)-SUMIF('תקבולים מפורט'!$D$3:$D$413,"&lt;900",'תקבולים מפורט'!G$3:G$413)-D7-D8</f>
        <v>6104</v>
      </c>
      <c r="E9" s="232">
        <f>SUMIF('תקבולים מפורט'!$D$3:$D$413,"&lt;=999",'תקבולים מפורט'!H$3:H$413)-SUMIF('תקבולים מפורט'!$D$3:$D$413,"&lt;900",'תקבולים מפורט'!H$3:H$413)-E7-E8</f>
        <v>79847</v>
      </c>
      <c r="F9" s="232">
        <f>SUMIF('תקבולים מפורט'!$D$3:$D$413,"&lt;=999",'תקבולים מפורט'!I$3:I$413)-SUMIF('תקבולים מפורט'!$D$3:$D$413,"&lt;900",'תקבולים מפורט'!I$3:I$413)-F7-F8</f>
        <v>78818</v>
      </c>
      <c r="G9" s="232">
        <f>SUMIF('תקבולים מפורט'!$D$3:$D$413,"&lt;=999",'תקבולים מפורט'!J$3:J$413)-SUMIF('תקבולים מפורט'!$D$3:$D$413,"&lt;900",'תקבולים מפורט'!J$3:J$413)-G7-G8</f>
        <v>6346</v>
      </c>
      <c r="H9" s="233">
        <f>SUMIF('תקבולים מפורט'!$D$3:$D$413,"&lt;=999",'תקבולים מפורט'!K$3:K$413)-SUMIF('תקבולים מפורט'!$D$3:$D$413,"&lt;900",'תקבולים מפורט'!K$3:K$413)-H7-H8</f>
        <v>9583.9940399999032</v>
      </c>
      <c r="I9" s="234"/>
    </row>
    <row r="10" spans="1:14" ht="21" customHeight="1" thickBot="1">
      <c r="B10" s="239" t="s">
        <v>290</v>
      </c>
      <c r="C10" s="240"/>
      <c r="D10" s="241">
        <f>SUM(D7:D9)</f>
        <v>274783</v>
      </c>
      <c r="E10" s="241">
        <f>SUM(E7:E9)</f>
        <v>339627</v>
      </c>
      <c r="F10" s="241">
        <f>SUM(F7:F9)</f>
        <v>336862</v>
      </c>
      <c r="G10" s="241">
        <f>SUM(G7:G9)</f>
        <v>253390</v>
      </c>
      <c r="H10" s="242">
        <f>SUM(H7:H9)</f>
        <v>248739.46306999971</v>
      </c>
      <c r="I10" s="234"/>
      <c r="N10" s="216" t="s">
        <v>1189</v>
      </c>
    </row>
    <row r="11" spans="1:14" ht="21" customHeight="1" thickBot="1">
      <c r="B11" s="243" t="s">
        <v>291</v>
      </c>
      <c r="C11" s="240"/>
      <c r="D11" s="244">
        <f>D6+D10</f>
        <v>1030000</v>
      </c>
      <c r="E11" s="244">
        <f>E6+E10</f>
        <v>1062953</v>
      </c>
      <c r="F11" s="244">
        <f>F6+F10</f>
        <v>1076048</v>
      </c>
      <c r="G11" s="244">
        <f>G6+G10</f>
        <v>1000750</v>
      </c>
      <c r="H11" s="245">
        <f>H6+H10</f>
        <v>991242.65252999915</v>
      </c>
      <c r="I11" s="246"/>
    </row>
    <row r="12" spans="1:14" ht="15.75" customHeight="1">
      <c r="B12" s="247" t="s">
        <v>493</v>
      </c>
      <c r="C12" s="248" t="s">
        <v>2354</v>
      </c>
      <c r="F12" s="249"/>
      <c r="G12" s="249"/>
      <c r="H12" s="249"/>
    </row>
    <row r="13" spans="1:14" ht="15.75" customHeight="1">
      <c r="B13" s="247"/>
      <c r="C13" s="250"/>
      <c r="F13" s="249"/>
      <c r="G13" s="249"/>
      <c r="H13" s="249"/>
    </row>
    <row r="14" spans="1:14" ht="15" customHeight="1" thickBot="1">
      <c r="F14" s="249"/>
      <c r="G14" s="249"/>
      <c r="H14" s="249"/>
    </row>
    <row r="15" spans="1:14" ht="18.75" customHeight="1">
      <c r="B15" s="1106" t="s">
        <v>292</v>
      </c>
      <c r="C15" s="1107"/>
      <c r="D15" s="222" t="str">
        <f t="shared" ref="D15:H16" si="0">D4</f>
        <v>תקציב</v>
      </c>
      <c r="E15" s="223" t="str">
        <f t="shared" si="0"/>
        <v>אומדן</v>
      </c>
      <c r="F15" s="251" t="str">
        <f t="shared" si="0"/>
        <v xml:space="preserve">תקציב </v>
      </c>
      <c r="G15" s="252" t="str">
        <f t="shared" si="0"/>
        <v>תקציב</v>
      </c>
      <c r="H15" s="253" t="str">
        <f t="shared" si="0"/>
        <v>ביצוע</v>
      </c>
      <c r="I15" s="225"/>
    </row>
    <row r="16" spans="1:14" ht="18.75" customHeight="1" thickBot="1">
      <c r="B16" s="1108"/>
      <c r="C16" s="1109"/>
      <c r="D16" s="226" t="str">
        <f t="shared" si="0"/>
        <v>2021</v>
      </c>
      <c r="E16" s="227" t="str">
        <f t="shared" si="0"/>
        <v>2020</v>
      </c>
      <c r="F16" s="254" t="str">
        <f t="shared" si="0"/>
        <v>סופי 2020</v>
      </c>
      <c r="G16" s="255" t="str">
        <f t="shared" si="0"/>
        <v>מקורי 2020</v>
      </c>
      <c r="H16" s="256" t="str">
        <f t="shared" si="0"/>
        <v>2019</v>
      </c>
      <c r="I16" s="225"/>
    </row>
    <row r="17" spans="1:13" ht="21" customHeight="1">
      <c r="B17" s="235" t="s">
        <v>293</v>
      </c>
      <c r="C17" s="257"/>
      <c r="D17" s="236">
        <f>SUMIF('תשלומים מפורט'!$D$3:$D$1781,"&lt;400",'תשלומים מפורט'!J$3:J$1781)</f>
        <v>464749.99699999997</v>
      </c>
      <c r="E17" s="236">
        <f>SUMIF('תשלומים מפורט'!$D$3:$D$1781,"&lt;400",'תשלומים מפורט'!K$3:K$1781)</f>
        <v>432970</v>
      </c>
      <c r="F17" s="236">
        <f>SUMIF('תשלומים מפורט'!$D$3:$D$1781,"&lt;400",'תשלומים מפורט'!L$3:L$1781)</f>
        <v>452804</v>
      </c>
      <c r="G17" s="236">
        <f>SUMIF('תשלומים מפורט'!$D$3:$D$1781,"&lt;400",'תשלומים מפורט'!M$3:M$1781)</f>
        <v>451138</v>
      </c>
      <c r="H17" s="237">
        <f>SUMIF('תשלומים מפורט'!$D$3:$D$1781,"&lt;400",'תשלומים מפורט'!N$3:N$1781)</f>
        <v>400710.00702000002</v>
      </c>
      <c r="I17" s="234"/>
      <c r="J17" s="258"/>
      <c r="M17" s="249"/>
    </row>
    <row r="18" spans="1:13" ht="21" customHeight="1">
      <c r="A18" s="229"/>
      <c r="B18" s="230" t="s">
        <v>294</v>
      </c>
      <c r="C18" s="259"/>
      <c r="D18" s="232">
        <f>SUMIF('תשלומים מפורט'!$D$3:$D$1781,"&lt;=999",'תשלומים מפורט'!J$3:J$1781)-D17-D20</f>
        <v>552450</v>
      </c>
      <c r="E18" s="232">
        <f>SUMIF('תשלומים מפורט'!$D$3:$D$1781,"&lt;=999",'תשלומים מפורט'!K$3:K$1781)-E17-E20</f>
        <v>595120</v>
      </c>
      <c r="F18" s="232">
        <f>SUMIF('תשלומים מפורט'!$D$3:$D$1781,"&lt;=999",'תשלומים מפורט'!L$3:L$1781)-F17-F20</f>
        <v>605644</v>
      </c>
      <c r="G18" s="232">
        <f>SUMIF('תשלומים מפורט'!$D$3:$D$1781,"&lt;=999",'תשלומים מפורט'!M$3:M$1781)-G17-G20</f>
        <v>532012</v>
      </c>
      <c r="H18" s="233">
        <f>SUMIF('תשלומים מפורט'!$D$3:$D$1781,"&lt;=999",'תשלומים מפורט'!N$3:N$1781)-H17-H20</f>
        <v>526245.59106999973</v>
      </c>
      <c r="I18" s="234"/>
      <c r="J18" s="260"/>
    </row>
    <row r="19" spans="1:13" ht="21" customHeight="1" thickBot="1">
      <c r="B19" s="230" t="s">
        <v>296</v>
      </c>
      <c r="C19" s="231"/>
      <c r="D19" s="232">
        <f>SUM(D17:D18)</f>
        <v>1017199.997</v>
      </c>
      <c r="E19" s="232">
        <f>SUM(E17:E18)</f>
        <v>1028090</v>
      </c>
      <c r="F19" s="232">
        <f>SUM(F17:F18)</f>
        <v>1058448</v>
      </c>
      <c r="G19" s="232">
        <f>SUM(G17:G18)</f>
        <v>983150</v>
      </c>
      <c r="H19" s="233">
        <f>SUM(H17:H18)</f>
        <v>926955.59808999975</v>
      </c>
      <c r="I19" s="234"/>
      <c r="J19" s="261" t="str">
        <f>תוכן!B1</f>
        <v>הצעת התקציב הרגיל לשנת 2021</v>
      </c>
      <c r="K19" s="262"/>
      <c r="L19" s="263" t="s">
        <v>295</v>
      </c>
    </row>
    <row r="20" spans="1:13" ht="21" customHeight="1" thickTop="1" thickBot="1">
      <c r="B20" s="264" t="s">
        <v>312</v>
      </c>
      <c r="C20" s="240"/>
      <c r="D20" s="241">
        <f>'תשלומים מפורט'!J229+'תשלומים מפורט'!J1741</f>
        <v>12800</v>
      </c>
      <c r="E20" s="241">
        <f>'תשלומים מפורט'!K229+'תשלומים מפורט'!K1741</f>
        <v>16880</v>
      </c>
      <c r="F20" s="241">
        <f>'תשלומים מפורט'!L229+'תשלומים מפורט'!L1741</f>
        <v>17600</v>
      </c>
      <c r="G20" s="241">
        <f>'תשלומים מפורט'!M229+'תשלומים מפורט'!M1741</f>
        <v>17600</v>
      </c>
      <c r="H20" s="242">
        <f>'תשלומים מפורט'!N229+'תשלומים מפורט'!N1741</f>
        <v>21897.35096</v>
      </c>
      <c r="I20" s="234"/>
      <c r="J20" s="265" t="s">
        <v>738</v>
      </c>
      <c r="K20" s="266"/>
      <c r="L20" s="267">
        <f>D21-D11</f>
        <v>-3.0000000260770321E-3</v>
      </c>
    </row>
    <row r="21" spans="1:13" ht="21" customHeight="1" thickBot="1">
      <c r="B21" s="243" t="s">
        <v>891</v>
      </c>
      <c r="C21" s="240"/>
      <c r="D21" s="244">
        <f>SUM(D19:D20)</f>
        <v>1029999.997</v>
      </c>
      <c r="E21" s="244">
        <f>SUM(E19:E20)</f>
        <v>1044970</v>
      </c>
      <c r="F21" s="244">
        <f>SUM(F19:F20)</f>
        <v>1076048</v>
      </c>
      <c r="G21" s="244">
        <f>SUM(G19:G20)</f>
        <v>1000750</v>
      </c>
      <c r="H21" s="245">
        <f>SUM(H19:H20)</f>
        <v>948852.9490499997</v>
      </c>
      <c r="I21" s="246"/>
      <c r="J21" s="268" t="s">
        <v>414</v>
      </c>
      <c r="K21" s="269"/>
      <c r="L21" s="270">
        <f>'תקבולים מפורט'!G45+'תקבולים מפורט'!G46+'תקבולים מפורט'!G47+'תקבולים מפורט'!G406+'תקבולים מפורט'!G407+'תקבולים מפורט'!G408</f>
        <v>23506</v>
      </c>
    </row>
    <row r="22" spans="1:13" ht="21" customHeight="1">
      <c r="B22" s="271"/>
      <c r="C22" s="272"/>
      <c r="D22" s="273">
        <f>D11-D21</f>
        <v>3.0000000260770321E-3</v>
      </c>
      <c r="E22" s="273">
        <f>E11-E21</f>
        <v>17983</v>
      </c>
      <c r="F22" s="273">
        <f>F11-F21</f>
        <v>0</v>
      </c>
      <c r="G22" s="273">
        <f>G11-G21</f>
        <v>0</v>
      </c>
      <c r="H22" s="273">
        <f>H11-H21</f>
        <v>42389.703479999444</v>
      </c>
      <c r="I22" s="246"/>
      <c r="J22" s="261"/>
      <c r="K22" s="262"/>
      <c r="L22" s="274"/>
    </row>
    <row r="23" spans="1:13" ht="24" customHeight="1">
      <c r="B23" s="217" t="str">
        <f>B1</f>
        <v>הצעת התקציב הרגיל לשנת 2021</v>
      </c>
      <c r="C23" s="218"/>
      <c r="D23" s="219"/>
      <c r="E23" s="219"/>
      <c r="F23" s="219"/>
      <c r="G23" s="219"/>
      <c r="H23" s="275"/>
      <c r="I23" s="219"/>
    </row>
    <row r="24" spans="1:13" ht="20.25" customHeight="1">
      <c r="B24" s="220" t="s">
        <v>892</v>
      </c>
      <c r="C24" s="221"/>
      <c r="D24" s="219"/>
      <c r="E24" s="219"/>
      <c r="F24" s="219"/>
      <c r="G24" s="219"/>
      <c r="H24" s="219"/>
      <c r="I24" s="219"/>
    </row>
    <row r="25" spans="1:13" ht="18" customHeight="1" thickBot="1"/>
    <row r="26" spans="1:13" ht="18.75" customHeight="1">
      <c r="B26" s="1110" t="s">
        <v>625</v>
      </c>
      <c r="C26" s="1111"/>
      <c r="D26" s="222" t="str">
        <f t="shared" ref="D26:H27" si="1">D4</f>
        <v>תקציב</v>
      </c>
      <c r="E26" s="223" t="str">
        <f t="shared" si="1"/>
        <v>אומדן</v>
      </c>
      <c r="F26" s="222" t="str">
        <f t="shared" si="1"/>
        <v xml:space="preserve">תקציב </v>
      </c>
      <c r="G26" s="223" t="str">
        <f t="shared" si="1"/>
        <v>תקציב</v>
      </c>
      <c r="H26" s="224" t="str">
        <f t="shared" si="1"/>
        <v>ביצוע</v>
      </c>
      <c r="I26" s="225"/>
    </row>
    <row r="27" spans="1:13" ht="18.75" customHeight="1" thickBot="1">
      <c r="B27" s="1112"/>
      <c r="C27" s="1113"/>
      <c r="D27" s="226" t="str">
        <f t="shared" si="1"/>
        <v>2021</v>
      </c>
      <c r="E27" s="227" t="str">
        <f t="shared" si="1"/>
        <v>2020</v>
      </c>
      <c r="F27" s="226" t="str">
        <f t="shared" si="1"/>
        <v>סופי 2020</v>
      </c>
      <c r="G27" s="227" t="str">
        <f t="shared" si="1"/>
        <v>מקורי 2020</v>
      </c>
      <c r="H27" s="228" t="str">
        <f t="shared" si="1"/>
        <v>2019</v>
      </c>
      <c r="I27" s="225"/>
    </row>
    <row r="28" spans="1:13" ht="22.5" customHeight="1">
      <c r="B28" s="230" t="s">
        <v>494</v>
      </c>
      <c r="C28" s="231"/>
      <c r="D28" s="276">
        <f>D6/D$11</f>
        <v>0.73322038834951453</v>
      </c>
      <c r="E28" s="276">
        <f>E6/E$11</f>
        <v>0.68048728400973513</v>
      </c>
      <c r="F28" s="276">
        <f>F6/F$11</f>
        <v>0.68694519203604298</v>
      </c>
      <c r="G28" s="276">
        <f>G6/G$11</f>
        <v>0.74679990007494379</v>
      </c>
      <c r="H28" s="277">
        <f>H6/H$11</f>
        <v>0.74906299437869295</v>
      </c>
      <c r="I28" s="278"/>
    </row>
    <row r="29" spans="1:13" ht="22.5" customHeight="1">
      <c r="B29" s="235" t="s">
        <v>287</v>
      </c>
      <c r="C29" s="257" t="s">
        <v>288</v>
      </c>
      <c r="D29" s="279">
        <f t="shared" ref="D29:H31" si="2">D7/D$11</f>
        <v>0.19353689320388351</v>
      </c>
      <c r="E29" s="279">
        <f t="shared" si="2"/>
        <v>0.18251324376524644</v>
      </c>
      <c r="F29" s="279">
        <f t="shared" si="2"/>
        <v>0.17874388503115102</v>
      </c>
      <c r="G29" s="279">
        <f t="shared" si="2"/>
        <v>0.18172770422183362</v>
      </c>
      <c r="H29" s="280">
        <f t="shared" si="2"/>
        <v>0.17687677541165325</v>
      </c>
      <c r="I29" s="278"/>
    </row>
    <row r="30" spans="1:13" ht="22.5" customHeight="1">
      <c r="B30" s="235"/>
      <c r="C30" s="257" t="s">
        <v>842</v>
      </c>
      <c r="D30" s="279">
        <f t="shared" si="2"/>
        <v>6.7316504854368936E-2</v>
      </c>
      <c r="E30" s="279">
        <f t="shared" si="2"/>
        <v>6.1881381396919712E-2</v>
      </c>
      <c r="F30" s="279">
        <f t="shared" si="2"/>
        <v>6.1063261118463115E-2</v>
      </c>
      <c r="G30" s="279">
        <f t="shared" si="2"/>
        <v>6.5131151636272797E-2</v>
      </c>
      <c r="H30" s="280">
        <f t="shared" si="2"/>
        <v>6.439156430273564E-2</v>
      </c>
      <c r="I30" s="278"/>
    </row>
    <row r="31" spans="1:13" ht="22.5" customHeight="1">
      <c r="B31" s="238"/>
      <c r="C31" s="259" t="s">
        <v>289</v>
      </c>
      <c r="D31" s="276">
        <f t="shared" si="2"/>
        <v>5.9262135922330096E-3</v>
      </c>
      <c r="E31" s="276">
        <f t="shared" si="2"/>
        <v>7.5118090828098699E-2</v>
      </c>
      <c r="F31" s="276">
        <f t="shared" si="2"/>
        <v>7.3247661814342849E-2</v>
      </c>
      <c r="G31" s="276">
        <f t="shared" si="2"/>
        <v>6.3412440669497879E-3</v>
      </c>
      <c r="H31" s="277">
        <f t="shared" si="2"/>
        <v>9.668665906918136E-3</v>
      </c>
      <c r="I31" s="278"/>
    </row>
    <row r="32" spans="1:13" ht="22.5" customHeight="1" thickBot="1">
      <c r="B32" s="281" t="str">
        <f>B10</f>
        <v>סה"כ משרדי ממשלה ייעודיים:</v>
      </c>
      <c r="C32" s="240"/>
      <c r="D32" s="282">
        <f>SUM(D29:D31)</f>
        <v>0.26677961165048547</v>
      </c>
      <c r="E32" s="282">
        <f>SUM(E29:E31)</f>
        <v>0.31951271599026487</v>
      </c>
      <c r="F32" s="282">
        <f>SUM(F29:F31)</f>
        <v>0.31305480796395696</v>
      </c>
      <c r="G32" s="282">
        <f>SUM(G29:G31)</f>
        <v>0.25320009992505621</v>
      </c>
      <c r="H32" s="283">
        <f>SUM(H29:H31)</f>
        <v>0.250937005621307</v>
      </c>
      <c r="I32" s="278"/>
    </row>
    <row r="33" spans="1:10" ht="22.5" customHeight="1" thickBot="1">
      <c r="B33" s="243" t="s">
        <v>291</v>
      </c>
      <c r="C33" s="240"/>
      <c r="D33" s="284">
        <f>D28+D32</f>
        <v>1</v>
      </c>
      <c r="E33" s="284">
        <f>E28+E32</f>
        <v>1</v>
      </c>
      <c r="F33" s="284">
        <f>F28+F32</f>
        <v>1</v>
      </c>
      <c r="G33" s="284">
        <f>G28+G32</f>
        <v>1</v>
      </c>
      <c r="H33" s="285">
        <f>H28+H32</f>
        <v>1</v>
      </c>
      <c r="I33" s="286"/>
    </row>
    <row r="35" spans="1:10" ht="14.5" thickBot="1"/>
    <row r="36" spans="1:10" ht="18.75" customHeight="1">
      <c r="B36" s="1110" t="s">
        <v>1147</v>
      </c>
      <c r="C36" s="1111"/>
      <c r="D36" s="222" t="str">
        <f t="shared" ref="D36:H37" si="3">D4</f>
        <v>תקציב</v>
      </c>
      <c r="E36" s="223" t="str">
        <f t="shared" si="3"/>
        <v>אומדן</v>
      </c>
      <c r="F36" s="222" t="str">
        <f t="shared" si="3"/>
        <v xml:space="preserve">תקציב </v>
      </c>
      <c r="G36" s="223" t="str">
        <f t="shared" si="3"/>
        <v>תקציב</v>
      </c>
      <c r="H36" s="224" t="str">
        <f t="shared" si="3"/>
        <v>ביצוע</v>
      </c>
      <c r="I36" s="225"/>
    </row>
    <row r="37" spans="1:10" ht="18.75" customHeight="1" thickBot="1">
      <c r="A37" s="247"/>
      <c r="B37" s="1112"/>
      <c r="C37" s="1113"/>
      <c r="D37" s="226" t="str">
        <f t="shared" si="3"/>
        <v>2021</v>
      </c>
      <c r="E37" s="227" t="str">
        <f t="shared" si="3"/>
        <v>2020</v>
      </c>
      <c r="F37" s="226" t="str">
        <f t="shared" si="3"/>
        <v>סופי 2020</v>
      </c>
      <c r="G37" s="227" t="str">
        <f t="shared" si="3"/>
        <v>מקורי 2020</v>
      </c>
      <c r="H37" s="228" t="str">
        <f t="shared" si="3"/>
        <v>2019</v>
      </c>
      <c r="I37" s="287"/>
    </row>
    <row r="38" spans="1:10" ht="22.5" customHeight="1">
      <c r="B38" s="235" t="s">
        <v>293</v>
      </c>
      <c r="C38" s="257"/>
      <c r="D38" s="279">
        <f t="shared" ref="D38:E41" si="4">D17/D$21</f>
        <v>0.4512135906346027</v>
      </c>
      <c r="E38" s="279">
        <f t="shared" si="4"/>
        <v>0.41433725370106317</v>
      </c>
      <c r="F38" s="279">
        <f t="shared" ref="F38:H41" si="5">F17/F$21</f>
        <v>0.4208027894666409</v>
      </c>
      <c r="G38" s="279">
        <f t="shared" si="5"/>
        <v>0.4507999000749438</v>
      </c>
      <c r="H38" s="280">
        <f t="shared" si="5"/>
        <v>0.42230991369231086</v>
      </c>
      <c r="I38" s="288"/>
    </row>
    <row r="39" spans="1:10" ht="22.5" customHeight="1">
      <c r="A39" s="289"/>
      <c r="B39" s="230" t="s">
        <v>294</v>
      </c>
      <c r="C39" s="259"/>
      <c r="D39" s="276">
        <f t="shared" si="4"/>
        <v>0.53635922486318222</v>
      </c>
      <c r="E39" s="276">
        <f t="shared" si="4"/>
        <v>0.56950917251212951</v>
      </c>
      <c r="F39" s="276">
        <f t="shared" si="5"/>
        <v>0.5628410628522148</v>
      </c>
      <c r="G39" s="276">
        <f t="shared" si="5"/>
        <v>0.53161329003247559</v>
      </c>
      <c r="H39" s="277">
        <f t="shared" si="5"/>
        <v>0.55461237865876023</v>
      </c>
      <c r="I39" s="278"/>
    </row>
    <row r="40" spans="1:10" ht="22.5" customHeight="1">
      <c r="A40" s="289"/>
      <c r="B40" s="230" t="s">
        <v>296</v>
      </c>
      <c r="C40" s="231"/>
      <c r="D40" s="276">
        <f t="shared" si="4"/>
        <v>0.98757281549778486</v>
      </c>
      <c r="E40" s="276">
        <f t="shared" si="4"/>
        <v>0.98384642621319274</v>
      </c>
      <c r="F40" s="276">
        <f t="shared" si="5"/>
        <v>0.98364385231885565</v>
      </c>
      <c r="G40" s="276">
        <f t="shared" si="5"/>
        <v>0.98241319010741945</v>
      </c>
      <c r="H40" s="277">
        <f t="shared" si="5"/>
        <v>0.97692229235107109</v>
      </c>
      <c r="I40" s="278"/>
    </row>
    <row r="41" spans="1:10" ht="22.5" customHeight="1" thickBot="1">
      <c r="B41" s="239" t="s">
        <v>498</v>
      </c>
      <c r="C41" s="290"/>
      <c r="D41" s="282">
        <f t="shared" si="4"/>
        <v>1.24271845022151E-2</v>
      </c>
      <c r="E41" s="282">
        <f t="shared" si="4"/>
        <v>1.6153573786807277E-2</v>
      </c>
      <c r="F41" s="282">
        <f t="shared" si="5"/>
        <v>1.6356147681144337E-2</v>
      </c>
      <c r="G41" s="282">
        <f t="shared" si="5"/>
        <v>1.7586809892580563E-2</v>
      </c>
      <c r="H41" s="283">
        <f t="shared" si="5"/>
        <v>2.3077707648928983E-2</v>
      </c>
      <c r="I41" s="278"/>
    </row>
    <row r="42" spans="1:10" ht="22.5" customHeight="1" thickBot="1">
      <c r="B42" s="243" t="s">
        <v>891</v>
      </c>
      <c r="C42" s="240"/>
      <c r="D42" s="284">
        <f>SUM(D40:D41)</f>
        <v>1</v>
      </c>
      <c r="E42" s="284">
        <f>SUM(E40:E41)</f>
        <v>1</v>
      </c>
      <c r="F42" s="284">
        <f>SUM(F40:F41)</f>
        <v>1</v>
      </c>
      <c r="G42" s="284">
        <f>SUM(G40:G41)</f>
        <v>1</v>
      </c>
      <c r="H42" s="285">
        <f>SUM(H40:H41)</f>
        <v>1</v>
      </c>
      <c r="I42" s="286"/>
    </row>
    <row r="43" spans="1:10" ht="14.25" customHeight="1">
      <c r="A43" s="247"/>
      <c r="B43" s="291"/>
      <c r="C43" s="292"/>
      <c r="D43" s="293"/>
      <c r="E43" s="286"/>
      <c r="F43" s="286"/>
      <c r="G43" s="286"/>
      <c r="H43" s="286"/>
      <c r="I43" s="286"/>
    </row>
    <row r="44" spans="1:10" ht="23.25" customHeight="1">
      <c r="B44" s="1105" t="str">
        <f>B1</f>
        <v>הצעת התקציב הרגיל לשנת 2021</v>
      </c>
      <c r="C44" s="1105"/>
      <c r="D44" s="1105"/>
      <c r="E44" s="1105"/>
      <c r="F44" s="1105"/>
      <c r="G44" s="1105"/>
      <c r="H44" s="1105"/>
      <c r="I44" s="1105"/>
      <c r="J44" s="1105"/>
    </row>
    <row r="45" spans="1:10" ht="18" customHeight="1">
      <c r="F45" s="294"/>
      <c r="G45" s="294"/>
      <c r="H45" s="219"/>
      <c r="I45" s="219"/>
    </row>
    <row r="46" spans="1:10" ht="27" customHeight="1">
      <c r="B46" s="1049" t="s">
        <v>1148</v>
      </c>
    </row>
    <row r="47" spans="1:10" ht="13.5" customHeight="1"/>
    <row r="53" spans="7:9" ht="18">
      <c r="G53" s="1049" t="s">
        <v>258</v>
      </c>
    </row>
    <row r="60" spans="7:9">
      <c r="I60" s="295"/>
    </row>
    <row r="73" spans="3:10">
      <c r="H73" s="216">
        <v>5.01</v>
      </c>
    </row>
    <row r="74" spans="3:10" ht="21" customHeight="1"/>
    <row r="75" spans="3:10" ht="24" customHeight="1">
      <c r="C75" s="218" t="str">
        <f>B44</f>
        <v>הצעת התקציב הרגיל לשנת 2021</v>
      </c>
      <c r="D75" s="218"/>
      <c r="E75" s="218"/>
      <c r="F75" s="218"/>
      <c r="G75" s="218"/>
      <c r="H75" s="296"/>
      <c r="I75" s="296"/>
      <c r="J75" s="218"/>
    </row>
    <row r="76" spans="3:10" ht="16.5" customHeight="1">
      <c r="C76" s="297" t="s">
        <v>2244</v>
      </c>
      <c r="D76" s="298"/>
      <c r="E76" s="298"/>
      <c r="F76" s="298"/>
      <c r="G76" s="298"/>
      <c r="H76" s="296"/>
      <c r="I76" s="296"/>
      <c r="J76" s="298"/>
    </row>
    <row r="77" spans="3:10" ht="18" customHeight="1">
      <c r="C77" s="297"/>
      <c r="D77" s="298"/>
      <c r="E77" s="298"/>
      <c r="F77" s="298"/>
      <c r="G77" s="298"/>
      <c r="H77" s="296"/>
      <c r="I77" s="296"/>
      <c r="J77" s="298"/>
    </row>
    <row r="79" spans="3:10" ht="18" customHeight="1" thickBot="1">
      <c r="D79" s="299" t="s">
        <v>201</v>
      </c>
      <c r="E79" s="300"/>
      <c r="F79" s="300"/>
      <c r="G79" s="301"/>
    </row>
    <row r="80" spans="3:10" ht="15.75" customHeight="1">
      <c r="C80" s="1103" t="s">
        <v>625</v>
      </c>
      <c r="D80" s="302" t="str">
        <f t="shared" ref="D80:G81" si="6">E4</f>
        <v>אומדן</v>
      </c>
      <c r="E80" s="302" t="str">
        <f t="shared" si="6"/>
        <v xml:space="preserve">תקציב </v>
      </c>
      <c r="F80" s="302" t="str">
        <f t="shared" si="6"/>
        <v>תקציב</v>
      </c>
      <c r="G80" s="303" t="str">
        <f t="shared" si="6"/>
        <v>ביצוע</v>
      </c>
    </row>
    <row r="81" spans="2:7" ht="15.75" customHeight="1" thickBot="1">
      <c r="C81" s="1104"/>
      <c r="D81" s="304" t="str">
        <f t="shared" si="6"/>
        <v>2020</v>
      </c>
      <c r="E81" s="304" t="str">
        <f t="shared" si="6"/>
        <v>סופי 2020</v>
      </c>
      <c r="F81" s="304" t="str">
        <f t="shared" si="6"/>
        <v>מקורי 2020</v>
      </c>
      <c r="G81" s="305" t="str">
        <f t="shared" si="6"/>
        <v>2019</v>
      </c>
    </row>
    <row r="82" spans="2:7" ht="21" customHeight="1">
      <c r="C82" s="306" t="str">
        <f>B6</f>
        <v>עצמיים:</v>
      </c>
      <c r="D82" s="307">
        <f>$D6/E6-1</f>
        <v>4.4089387081343689E-2</v>
      </c>
      <c r="E82" s="307">
        <f>$D6/F6-1</f>
        <v>2.1687369620095653E-2</v>
      </c>
      <c r="F82" s="307">
        <f>$D6/G6-1</f>
        <v>1.0513005780346862E-2</v>
      </c>
      <c r="G82" s="277">
        <f>$D6/H6-1</f>
        <v>1.7122903605635509E-2</v>
      </c>
    </row>
    <row r="83" spans="2:7" ht="21" customHeight="1">
      <c r="C83" s="308" t="str">
        <f>C7</f>
        <v>משרד החינוך:</v>
      </c>
      <c r="D83" s="309">
        <f>$D7/E7-1</f>
        <v>2.7525347546171863E-2</v>
      </c>
      <c r="E83" s="309">
        <f t="shared" ref="E83:G87" si="7">$D7/F7-1</f>
        <v>3.6425648731133409E-2</v>
      </c>
      <c r="F83" s="309">
        <f t="shared" si="7"/>
        <v>9.6110280209387167E-2</v>
      </c>
      <c r="G83" s="280">
        <f t="shared" si="7"/>
        <v>0.13697311788545918</v>
      </c>
    </row>
    <row r="84" spans="2:7" ht="21" customHeight="1">
      <c r="C84" s="308" t="str">
        <f>C8</f>
        <v>משרד הרווחה:</v>
      </c>
      <c r="D84" s="309">
        <f>$D8/E8-1</f>
        <v>5.4107058698329213E-2</v>
      </c>
      <c r="E84" s="309">
        <f t="shared" si="7"/>
        <v>5.5230036373598024E-2</v>
      </c>
      <c r="F84" s="309">
        <f t="shared" si="7"/>
        <v>6.376189015035294E-2</v>
      </c>
      <c r="G84" s="280">
        <f t="shared" si="7"/>
        <v>8.6300117668417498E-2</v>
      </c>
    </row>
    <row r="85" spans="2:7" ht="21" customHeight="1">
      <c r="C85" s="306" t="str">
        <f>C9</f>
        <v>משרדי ממשלה אחרים:</v>
      </c>
      <c r="D85" s="307">
        <f>$D9/E9-1</f>
        <v>-0.92355379663606652</v>
      </c>
      <c r="E85" s="307">
        <f t="shared" si="7"/>
        <v>-0.92255576137430539</v>
      </c>
      <c r="F85" s="307">
        <f t="shared" si="7"/>
        <v>-3.8134257800189086E-2</v>
      </c>
      <c r="G85" s="277">
        <f t="shared" si="7"/>
        <v>-0.36310477922625439</v>
      </c>
    </row>
    <row r="86" spans="2:7" ht="21" customHeight="1" thickBot="1">
      <c r="C86" s="310" t="str">
        <f>B32</f>
        <v>סה"כ משרדי ממשלה ייעודיים:</v>
      </c>
      <c r="D86" s="311">
        <f>$D10/E10-1</f>
        <v>-0.19092710532437052</v>
      </c>
      <c r="E86" s="311">
        <f t="shared" si="7"/>
        <v>-0.18428614684945166</v>
      </c>
      <c r="F86" s="311">
        <f t="shared" si="7"/>
        <v>8.4427167607245668E-2</v>
      </c>
      <c r="G86" s="283">
        <f t="shared" si="7"/>
        <v>0.10470207102871809</v>
      </c>
    </row>
    <row r="87" spans="2:7" ht="21" customHeight="1" thickBot="1">
      <c r="C87" s="312" t="s">
        <v>291</v>
      </c>
      <c r="D87" s="313">
        <f>$D11/E11-1</f>
        <v>-3.100137070971154E-2</v>
      </c>
      <c r="E87" s="313">
        <f t="shared" si="7"/>
        <v>-4.2793630023939433E-2</v>
      </c>
      <c r="F87" s="313">
        <f t="shared" si="7"/>
        <v>2.9228078940794378E-2</v>
      </c>
      <c r="G87" s="314">
        <f t="shared" si="7"/>
        <v>3.909975763359097E-2</v>
      </c>
    </row>
    <row r="88" spans="2:7" ht="21" customHeight="1">
      <c r="C88" s="315"/>
      <c r="D88" s="316"/>
      <c r="E88" s="316"/>
      <c r="F88" s="317"/>
      <c r="G88" s="317"/>
    </row>
    <row r="89" spans="2:7">
      <c r="B89" s="247"/>
      <c r="C89" s="318"/>
    </row>
    <row r="90" spans="2:7" ht="18" customHeight="1" thickBot="1">
      <c r="D90" s="299" t="s">
        <v>201</v>
      </c>
      <c r="E90" s="300"/>
      <c r="F90" s="300"/>
      <c r="G90" s="301"/>
    </row>
    <row r="91" spans="2:7" ht="15.75" customHeight="1">
      <c r="C91" s="1103" t="s">
        <v>1147</v>
      </c>
      <c r="D91" s="302" t="str">
        <f t="shared" ref="D91:G92" si="8">E15</f>
        <v>אומדן</v>
      </c>
      <c r="E91" s="302" t="str">
        <f t="shared" si="8"/>
        <v xml:space="preserve">תקציב </v>
      </c>
      <c r="F91" s="302" t="str">
        <f t="shared" si="8"/>
        <v>תקציב</v>
      </c>
      <c r="G91" s="303" t="str">
        <f t="shared" si="8"/>
        <v>ביצוע</v>
      </c>
    </row>
    <row r="92" spans="2:7" ht="15.75" customHeight="1" thickBot="1">
      <c r="C92" s="1104"/>
      <c r="D92" s="304" t="str">
        <f t="shared" si="8"/>
        <v>2020</v>
      </c>
      <c r="E92" s="304" t="str">
        <f t="shared" si="8"/>
        <v>סופי 2020</v>
      </c>
      <c r="F92" s="304" t="str">
        <f t="shared" si="8"/>
        <v>מקורי 2020</v>
      </c>
      <c r="G92" s="305" t="str">
        <f t="shared" si="8"/>
        <v>2019</v>
      </c>
    </row>
    <row r="93" spans="2:7" ht="21" customHeight="1">
      <c r="C93" s="306" t="str">
        <f>B17</f>
        <v>שכר:</v>
      </c>
      <c r="D93" s="307">
        <f>$D17/E17-1</f>
        <v>7.3399997690371199E-2</v>
      </c>
      <c r="E93" s="307">
        <f t="shared" ref="E93:G97" si="9">$D17/F17-1</f>
        <v>2.6382269149565651E-2</v>
      </c>
      <c r="F93" s="307">
        <f t="shared" si="9"/>
        <v>3.0172579122131005E-2</v>
      </c>
      <c r="G93" s="277">
        <f t="shared" si="9"/>
        <v>0.15981629821589061</v>
      </c>
    </row>
    <row r="94" spans="2:7" ht="21" customHeight="1">
      <c r="B94" s="289"/>
      <c r="C94" s="306" t="str">
        <f>B18</f>
        <v>פעולות:</v>
      </c>
      <c r="D94" s="307">
        <f>$D18/E18-1</f>
        <v>-7.1699825245328697E-2</v>
      </c>
      <c r="E94" s="307">
        <f t="shared" si="9"/>
        <v>-8.7830474668286973E-2</v>
      </c>
      <c r="F94" s="307">
        <f t="shared" si="9"/>
        <v>3.841642669714207E-2</v>
      </c>
      <c r="G94" s="277">
        <f t="shared" si="9"/>
        <v>4.9795018475536468E-2</v>
      </c>
    </row>
    <row r="95" spans="2:7" ht="21" customHeight="1">
      <c r="C95" s="306" t="str">
        <f>B19</f>
        <v>סה"כ:   שכר + פעולות</v>
      </c>
      <c r="D95" s="307">
        <f>$D19/E19-1</f>
        <v>-1.0592460776780221E-2</v>
      </c>
      <c r="E95" s="307">
        <f t="shared" si="9"/>
        <v>-3.8970268733088509E-2</v>
      </c>
      <c r="F95" s="307">
        <f t="shared" si="9"/>
        <v>3.4633572699994897E-2</v>
      </c>
      <c r="G95" s="277">
        <f t="shared" si="9"/>
        <v>9.7355686826801291E-2</v>
      </c>
    </row>
    <row r="96" spans="2:7" ht="21" customHeight="1" thickBot="1">
      <c r="C96" s="319" t="s">
        <v>498</v>
      </c>
      <c r="D96" s="311">
        <f>$D20/E20-1</f>
        <v>-0.24170616113744081</v>
      </c>
      <c r="E96" s="311">
        <f t="shared" si="9"/>
        <v>-0.27272727272727271</v>
      </c>
      <c r="F96" s="311">
        <f t="shared" si="9"/>
        <v>-0.27272727272727271</v>
      </c>
      <c r="G96" s="283">
        <f t="shared" si="9"/>
        <v>-0.41545440709326786</v>
      </c>
    </row>
    <row r="97" spans="3:7" ht="21" customHeight="1" thickBot="1">
      <c r="C97" s="312" t="s">
        <v>891</v>
      </c>
      <c r="D97" s="313">
        <f>$D21/E21-1</f>
        <v>-1.4325772988698304E-2</v>
      </c>
      <c r="E97" s="313">
        <f t="shared" si="9"/>
        <v>-4.2793632811919169E-2</v>
      </c>
      <c r="F97" s="313">
        <f t="shared" si="9"/>
        <v>2.9228075943042775E-2</v>
      </c>
      <c r="G97" s="314">
        <f t="shared" si="9"/>
        <v>8.5521205399894162E-2</v>
      </c>
    </row>
    <row r="99" spans="3:7">
      <c r="D99" s="320"/>
    </row>
    <row r="1651" spans="10:10">
      <c r="J1651" s="216">
        <v>50</v>
      </c>
    </row>
    <row r="1818" spans="10:10">
      <c r="J1818" s="216">
        <f>29950-720-450-50</f>
        <v>28730</v>
      </c>
    </row>
  </sheetData>
  <mergeCells count="7">
    <mergeCell ref="C91:C92"/>
    <mergeCell ref="B44:J44"/>
    <mergeCell ref="B4:C5"/>
    <mergeCell ref="B15:C16"/>
    <mergeCell ref="B26:C27"/>
    <mergeCell ref="B36:C37"/>
    <mergeCell ref="C80:C81"/>
  </mergeCells>
  <phoneticPr fontId="12"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
</oddHeader>
    <oddFooter>&amp;L&amp;"Miriam,נטוי"&amp;8&amp;F / &amp;A&amp;C&amp;"Miriam,נטוי"&amp;8דף &amp;P (מתוך &amp;N)</oddFooter>
  </headerFooter>
  <rowBreaks count="6" manualBreakCount="6">
    <brk id="22" max="16383" man="1"/>
    <brk id="43" max="16383" man="1"/>
    <brk id="73" max="11" man="1"/>
    <brk id="216" max="16383" man="1"/>
    <brk id="228" max="16383" man="1"/>
    <brk id="1198" max="16383" man="1"/>
  </rowBreaks>
  <ignoredErrors>
    <ignoredError sqref="D20:H2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8"/>
  <sheetViews>
    <sheetView showGridLines="0" rightToLeft="1" view="pageBreakPreview" zoomScale="90" zoomScaleNormal="110" zoomScaleSheetLayoutView="90" workbookViewId="0">
      <selection activeCell="D68" sqref="D68"/>
    </sheetView>
  </sheetViews>
  <sheetFormatPr defaultColWidth="9" defaultRowHeight="14"/>
  <cols>
    <col min="1" max="1" width="2.08203125" style="100" customWidth="1"/>
    <col min="2" max="2" width="6.08203125" style="100" customWidth="1"/>
    <col min="3" max="3" width="12.58203125" style="100" customWidth="1"/>
    <col min="4" max="4" width="98.58203125" style="100" customWidth="1"/>
    <col min="5" max="16384" width="9" style="100"/>
  </cols>
  <sheetData>
    <row r="1" spans="2:4" ht="31.5" customHeight="1">
      <c r="B1" s="1054" t="s">
        <v>2246</v>
      </c>
      <c r="C1" s="1055"/>
      <c r="D1" s="1056"/>
    </row>
    <row r="2" spans="2:4" ht="28.5" customHeight="1">
      <c r="B2" s="1054" t="s">
        <v>1326</v>
      </c>
      <c r="C2" s="1055"/>
      <c r="D2" s="1056"/>
    </row>
    <row r="3" spans="2:4" ht="32.25" customHeight="1">
      <c r="B3" s="1057" t="s">
        <v>580</v>
      </c>
      <c r="C3" s="1055"/>
      <c r="D3" s="1055"/>
    </row>
    <row r="4" spans="2:4" ht="23.25" customHeight="1">
      <c r="B4" s="1058" t="s">
        <v>2358</v>
      </c>
      <c r="C4" s="1055"/>
      <c r="D4" s="1055"/>
    </row>
    <row r="5" spans="2:4" ht="19.399999999999999" customHeight="1">
      <c r="B5" s="1058" t="s">
        <v>2247</v>
      </c>
      <c r="C5" s="1055"/>
      <c r="D5" s="1055"/>
    </row>
    <row r="6" spans="2:4" ht="19.399999999999999" customHeight="1">
      <c r="B6" s="1058" t="s">
        <v>2248</v>
      </c>
      <c r="C6" s="1055"/>
      <c r="D6" s="1055"/>
    </row>
    <row r="7" spans="2:4" ht="19.399999999999999" customHeight="1">
      <c r="B7" s="1058" t="s">
        <v>2357</v>
      </c>
      <c r="C7" s="1055"/>
      <c r="D7" s="1055"/>
    </row>
    <row r="8" spans="2:4" ht="19.399999999999999" customHeight="1">
      <c r="B8" s="1058" t="s">
        <v>1265</v>
      </c>
      <c r="C8" s="603"/>
      <c r="D8" s="603"/>
    </row>
    <row r="9" spans="2:4" ht="19.399999999999999" customHeight="1">
      <c r="B9" s="1058" t="s">
        <v>2249</v>
      </c>
      <c r="C9" s="603"/>
      <c r="D9" s="603"/>
    </row>
    <row r="10" spans="2:4" ht="19.399999999999999" customHeight="1">
      <c r="B10" s="1058" t="s">
        <v>2250</v>
      </c>
      <c r="C10" s="603"/>
      <c r="D10" s="603"/>
    </row>
    <row r="11" spans="2:4" ht="22.5" customHeight="1">
      <c r="B11" s="1059" t="s">
        <v>338</v>
      </c>
      <c r="C11" s="1060"/>
      <c r="D11" s="603"/>
    </row>
    <row r="12" spans="2:4" s="1061" customFormat="1" ht="22.5" customHeight="1">
      <c r="B12" s="1062" t="s">
        <v>2251</v>
      </c>
      <c r="C12" s="1057"/>
      <c r="D12" s="1063"/>
    </row>
    <row r="13" spans="2:4" s="1061" customFormat="1" ht="19.399999999999999" customHeight="1">
      <c r="B13" s="1050"/>
      <c r="C13" s="1057"/>
      <c r="D13" s="1063"/>
    </row>
    <row r="14" spans="2:4" ht="33" customHeight="1">
      <c r="B14" s="1050"/>
      <c r="C14" s="1064" t="s">
        <v>567</v>
      </c>
      <c r="D14" s="1065" t="s">
        <v>2252</v>
      </c>
    </row>
    <row r="15" spans="2:4" ht="70">
      <c r="B15" s="1050"/>
      <c r="C15" s="1064"/>
      <c r="D15" s="1065" t="s">
        <v>2356</v>
      </c>
    </row>
    <row r="16" spans="2:4" ht="28">
      <c r="B16" s="1050"/>
      <c r="C16" s="1064"/>
      <c r="D16" s="1065" t="s">
        <v>2269</v>
      </c>
    </row>
    <row r="17" spans="2:4" ht="48.75" customHeight="1">
      <c r="B17" s="1050"/>
      <c r="C17" s="1064"/>
      <c r="D17" s="1065" t="s">
        <v>2270</v>
      </c>
    </row>
    <row r="18" spans="2:4">
      <c r="B18" s="1050"/>
      <c r="C18" s="1064"/>
      <c r="D18" s="1066" t="s">
        <v>818</v>
      </c>
    </row>
    <row r="19" spans="2:4">
      <c r="B19" s="1050"/>
      <c r="C19" s="1064"/>
      <c r="D19" s="1066" t="s">
        <v>1852</v>
      </c>
    </row>
    <row r="20" spans="2:4">
      <c r="B20" s="1050"/>
      <c r="C20" s="1064"/>
      <c r="D20" s="1066" t="s">
        <v>1893</v>
      </c>
    </row>
    <row r="21" spans="2:4" ht="33" customHeight="1">
      <c r="B21" s="1050"/>
      <c r="C21" s="1064"/>
      <c r="D21" s="1067" t="s">
        <v>2271</v>
      </c>
    </row>
    <row r="22" spans="2:4" ht="18.75" customHeight="1">
      <c r="B22" s="1050"/>
      <c r="C22" s="1057"/>
      <c r="D22" s="1050" t="s">
        <v>2272</v>
      </c>
    </row>
    <row r="23" spans="2:4" ht="19.399999999999999" customHeight="1">
      <c r="B23" s="603"/>
      <c r="C23" s="1068"/>
      <c r="D23" s="1069"/>
    </row>
    <row r="24" spans="2:4" ht="28">
      <c r="B24" s="603"/>
      <c r="C24" s="1070" t="s">
        <v>815</v>
      </c>
      <c r="D24" s="212" t="s">
        <v>2361</v>
      </c>
    </row>
    <row r="25" spans="2:4">
      <c r="B25" s="603"/>
      <c r="C25" s="1070"/>
      <c r="D25" s="1069"/>
    </row>
    <row r="26" spans="2:4" s="1071" customFormat="1" ht="28">
      <c r="B26" s="1072"/>
      <c r="C26" s="213" t="s">
        <v>987</v>
      </c>
      <c r="D26" s="212" t="s">
        <v>1836</v>
      </c>
    </row>
    <row r="27" spans="2:4" s="1071" customFormat="1">
      <c r="B27" s="1072"/>
      <c r="C27" s="213"/>
      <c r="D27" s="212"/>
    </row>
    <row r="28" spans="2:4" ht="31.5" customHeight="1">
      <c r="B28" s="603"/>
      <c r="C28" s="1073" t="s">
        <v>2253</v>
      </c>
      <c r="D28" s="212" t="s">
        <v>2254</v>
      </c>
    </row>
    <row r="29" spans="2:4">
      <c r="B29" s="603"/>
      <c r="C29" s="1070"/>
      <c r="D29" s="1074"/>
    </row>
    <row r="30" spans="2:4" ht="33" customHeight="1">
      <c r="B30" s="603"/>
      <c r="C30" s="213" t="s">
        <v>1837</v>
      </c>
      <c r="D30" s="1051" t="s">
        <v>2255</v>
      </c>
    </row>
    <row r="31" spans="2:4">
      <c r="B31" s="603"/>
      <c r="C31" s="1070"/>
      <c r="D31" s="1074"/>
    </row>
    <row r="32" spans="2:4" ht="28">
      <c r="B32" s="603"/>
      <c r="C32" s="213" t="s">
        <v>1838</v>
      </c>
      <c r="D32" s="1051" t="s">
        <v>2256</v>
      </c>
    </row>
    <row r="33" spans="2:4" ht="15" customHeight="1">
      <c r="B33" s="603"/>
      <c r="C33" s="1075"/>
      <c r="D33" s="338"/>
    </row>
    <row r="34" spans="2:4" ht="56">
      <c r="B34" s="603"/>
      <c r="C34" s="213" t="s">
        <v>2257</v>
      </c>
      <c r="D34" s="1051" t="s">
        <v>2258</v>
      </c>
    </row>
    <row r="35" spans="2:4" ht="15" customHeight="1">
      <c r="B35" s="603"/>
      <c r="C35" s="213"/>
      <c r="D35" s="1051"/>
    </row>
    <row r="36" spans="2:4">
      <c r="C36" s="213" t="s">
        <v>1249</v>
      </c>
      <c r="D36" s="212" t="s">
        <v>2259</v>
      </c>
    </row>
    <row r="37" spans="2:4">
      <c r="C37" s="213"/>
      <c r="D37" s="212"/>
    </row>
    <row r="38" spans="2:4" ht="42">
      <c r="C38" s="213" t="s">
        <v>2360</v>
      </c>
      <c r="D38" s="1052" t="s">
        <v>2362</v>
      </c>
    </row>
    <row r="39" spans="2:4">
      <c r="C39" s="1075"/>
      <c r="D39" s="1074"/>
    </row>
    <row r="40" spans="2:4" ht="42">
      <c r="C40" s="213" t="s">
        <v>677</v>
      </c>
      <c r="D40" s="1076" t="s">
        <v>2273</v>
      </c>
    </row>
    <row r="41" spans="2:4">
      <c r="C41" s="213"/>
      <c r="D41" s="1076"/>
    </row>
    <row r="42" spans="2:4" ht="42">
      <c r="C42" s="213" t="s">
        <v>2260</v>
      </c>
      <c r="D42" s="212" t="s">
        <v>2363</v>
      </c>
    </row>
    <row r="43" spans="2:4">
      <c r="C43" s="213"/>
      <c r="D43" s="212"/>
    </row>
    <row r="44" spans="2:4" ht="28">
      <c r="C44" s="128" t="s">
        <v>991</v>
      </c>
      <c r="D44" s="321" t="s">
        <v>2364</v>
      </c>
    </row>
    <row r="45" spans="2:4">
      <c r="C45" s="213"/>
      <c r="D45" s="1076"/>
    </row>
    <row r="46" spans="2:4" ht="28">
      <c r="C46" s="1077" t="s">
        <v>367</v>
      </c>
      <c r="D46" s="1078" t="s">
        <v>2261</v>
      </c>
    </row>
    <row r="47" spans="2:4" ht="33" customHeight="1">
      <c r="C47" s="1077"/>
      <c r="D47" s="338"/>
    </row>
    <row r="48" spans="2:4">
      <c r="C48" s="1079"/>
      <c r="D48" s="1058"/>
    </row>
    <row r="49" spans="3:4" ht="18.75" customHeight="1">
      <c r="C49" s="603"/>
      <c r="D49" s="603"/>
    </row>
    <row r="50" spans="3:4" ht="18.75" customHeight="1">
      <c r="C50" s="603"/>
      <c r="D50" s="603"/>
    </row>
    <row r="51" spans="3:4" ht="18.75" customHeight="1">
      <c r="C51" s="603"/>
      <c r="D51" s="603"/>
    </row>
    <row r="52" spans="3:4" ht="21.75" customHeight="1">
      <c r="C52" s="603"/>
      <c r="D52" s="603"/>
    </row>
    <row r="53" spans="3:4" ht="21.75" customHeight="1">
      <c r="C53" s="603"/>
      <c r="D53" s="603"/>
    </row>
    <row r="54" spans="3:4" ht="21.75" customHeight="1">
      <c r="C54" s="603"/>
      <c r="D54" s="603"/>
    </row>
    <row r="55" spans="3:4" ht="21.75" customHeight="1">
      <c r="C55" s="603"/>
      <c r="D55" s="603"/>
    </row>
    <row r="56" spans="3:4">
      <c r="C56" s="603"/>
      <c r="D56" s="603"/>
    </row>
    <row r="57" spans="3:4">
      <c r="C57" s="603"/>
      <c r="D57" s="603"/>
    </row>
    <row r="58" spans="3:4">
      <c r="C58" s="603"/>
      <c r="D58" s="603"/>
    </row>
  </sheetData>
  <phoneticPr fontId="12"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20"/>
  <sheetViews>
    <sheetView showGridLines="0" rightToLeft="1" view="pageBreakPreview" zoomScale="90" zoomScaleNormal="100" zoomScaleSheetLayoutView="90" workbookViewId="0">
      <selection activeCell="D68" sqref="D68"/>
    </sheetView>
  </sheetViews>
  <sheetFormatPr defaultColWidth="9" defaultRowHeight="14"/>
  <cols>
    <col min="1" max="1" width="9.58203125" style="344" customWidth="1"/>
    <col min="2" max="2" width="112" style="134" customWidth="1"/>
    <col min="3" max="16384" width="9" style="134"/>
  </cols>
  <sheetData>
    <row r="1" spans="1:3" ht="21.75" customHeight="1">
      <c r="A1" s="1069"/>
      <c r="B1" s="133" t="s">
        <v>2246</v>
      </c>
    </row>
    <row r="2" spans="1:3" ht="24.75" customHeight="1">
      <c r="A2" s="343"/>
      <c r="B2" s="137" t="s">
        <v>39</v>
      </c>
      <c r="C2" s="1055"/>
    </row>
    <row r="3" spans="1:3" ht="18" customHeight="1">
      <c r="B3" s="137"/>
    </row>
    <row r="4" spans="1:3" ht="24.65" customHeight="1">
      <c r="A4" s="213" t="s">
        <v>1104</v>
      </c>
      <c r="B4" s="129" t="s">
        <v>2262</v>
      </c>
    </row>
    <row r="5" spans="1:3" ht="45.75" customHeight="1">
      <c r="A5" s="339"/>
      <c r="B5" s="129" t="s">
        <v>1784</v>
      </c>
    </row>
    <row r="6" spans="1:3" ht="24.75" customHeight="1">
      <c r="A6" s="339"/>
      <c r="B6" s="129" t="s">
        <v>1773</v>
      </c>
    </row>
    <row r="7" spans="1:3" ht="24.75" customHeight="1">
      <c r="A7" s="339"/>
      <c r="B7" s="1114" t="s">
        <v>2365</v>
      </c>
    </row>
    <row r="8" spans="1:3">
      <c r="A8" s="339"/>
      <c r="B8" s="1114"/>
    </row>
    <row r="9" spans="1:3" ht="7.5" customHeight="1">
      <c r="A9" s="339"/>
      <c r="B9" s="129"/>
    </row>
    <row r="10" spans="1:3" ht="45" customHeight="1">
      <c r="A10" s="213" t="s">
        <v>1107</v>
      </c>
      <c r="B10" s="130" t="s">
        <v>2274</v>
      </c>
    </row>
    <row r="11" spans="1:3" ht="24.75" customHeight="1">
      <c r="A11" s="213"/>
      <c r="B11" s="130" t="s">
        <v>1774</v>
      </c>
    </row>
    <row r="12" spans="1:3" ht="33" customHeight="1">
      <c r="A12" s="213" t="s">
        <v>1323</v>
      </c>
      <c r="B12" s="130" t="s">
        <v>2275</v>
      </c>
    </row>
    <row r="13" spans="1:3" ht="28">
      <c r="A13" s="213" t="s">
        <v>15</v>
      </c>
      <c r="B13" s="135" t="s">
        <v>2263</v>
      </c>
    </row>
    <row r="14" spans="1:3" ht="33" customHeight="1">
      <c r="A14" s="213"/>
      <c r="B14" s="1053" t="s">
        <v>2366</v>
      </c>
    </row>
    <row r="15" spans="1:3" ht="24" customHeight="1">
      <c r="A15" s="213"/>
      <c r="B15" s="135" t="s">
        <v>2276</v>
      </c>
    </row>
    <row r="16" spans="1:3" ht="39.75" customHeight="1">
      <c r="A16" s="213"/>
      <c r="B16" s="135" t="s">
        <v>1788</v>
      </c>
    </row>
    <row r="17" spans="1:2" s="465" customFormat="1" ht="37.5" customHeight="1">
      <c r="A17" s="128"/>
      <c r="B17" s="464" t="s">
        <v>1794</v>
      </c>
    </row>
    <row r="18" spans="1:2" s="465" customFormat="1" ht="22.5" customHeight="1">
      <c r="A18" s="128"/>
      <c r="B18" s="464" t="s">
        <v>2264</v>
      </c>
    </row>
    <row r="19" spans="1:2" ht="19.5" customHeight="1">
      <c r="A19" s="1080"/>
      <c r="B19" s="123" t="s">
        <v>1684</v>
      </c>
    </row>
    <row r="20" spans="1:2" ht="30.75" customHeight="1">
      <c r="A20" s="1081" t="s">
        <v>1324</v>
      </c>
      <c r="B20" s="464" t="s">
        <v>2277</v>
      </c>
    </row>
    <row r="21" spans="1:2" ht="32.25" customHeight="1">
      <c r="A21" s="1081"/>
      <c r="B21" s="1053" t="s">
        <v>2367</v>
      </c>
    </row>
    <row r="22" spans="1:2" ht="15.75" customHeight="1">
      <c r="A22" s="1081"/>
      <c r="B22" s="135"/>
    </row>
    <row r="23" spans="1:2" ht="51" customHeight="1">
      <c r="A23" s="213" t="s">
        <v>1222</v>
      </c>
      <c r="B23" s="130" t="s">
        <v>2368</v>
      </c>
    </row>
    <row r="24" spans="1:2" ht="42">
      <c r="A24" s="213" t="s">
        <v>733</v>
      </c>
      <c r="B24" s="123" t="s">
        <v>2265</v>
      </c>
    </row>
    <row r="25" spans="1:2">
      <c r="A25" s="128"/>
      <c r="B25" s="129"/>
    </row>
    <row r="26" spans="1:2" ht="29.9" customHeight="1">
      <c r="A26" s="128" t="s">
        <v>402</v>
      </c>
      <c r="B26" s="130" t="s">
        <v>2018</v>
      </c>
    </row>
    <row r="27" spans="1:2" ht="17.899999999999999" customHeight="1">
      <c r="A27" s="1082"/>
      <c r="B27" s="130" t="s">
        <v>2359</v>
      </c>
    </row>
    <row r="28" spans="1:2" ht="18" customHeight="1">
      <c r="A28" s="1082"/>
      <c r="B28" s="214" t="s">
        <v>516</v>
      </c>
    </row>
    <row r="29" spans="1:2" ht="18" customHeight="1">
      <c r="A29" s="1082"/>
      <c r="B29" s="214" t="s">
        <v>1105</v>
      </c>
    </row>
    <row r="30" spans="1:2" ht="18" customHeight="1">
      <c r="A30" s="1082"/>
      <c r="B30" s="214" t="s">
        <v>688</v>
      </c>
    </row>
    <row r="31" spans="1:2" ht="21" customHeight="1">
      <c r="A31" s="1082"/>
      <c r="B31" s="214" t="s">
        <v>1894</v>
      </c>
    </row>
    <row r="32" spans="1:2" ht="17.25" customHeight="1">
      <c r="A32" s="1082"/>
      <c r="B32" s="214"/>
    </row>
    <row r="33" spans="1:2" ht="42">
      <c r="A33" s="345" t="s">
        <v>1678</v>
      </c>
      <c r="B33" s="214" t="s">
        <v>2266</v>
      </c>
    </row>
    <row r="1653" spans="10:10">
      <c r="J1653" s="134">
        <v>50</v>
      </c>
    </row>
    <row r="1820" spans="10:10">
      <c r="J1820" s="134">
        <f>29950-720-450-50</f>
        <v>28730</v>
      </c>
    </row>
  </sheetData>
  <mergeCells count="1">
    <mergeCell ref="B7:B8"/>
  </mergeCells>
  <phoneticPr fontId="12" type="noConversion"/>
  <pageMargins left="0.74803149606299213" right="0.6692913385826772" top="1.1023622047244095" bottom="0.55118110236220474" header="0.43307086614173229" footer="0.27559055118110237"/>
  <pageSetup paperSize="9" scale="97"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16" max="1" man="1"/>
    <brk id="207" max="16383" man="1"/>
    <brk id="219" max="16383" man="1"/>
    <brk id="11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9"/>
  <sheetViews>
    <sheetView showGridLines="0" rightToLeft="1" view="pageBreakPreview" topLeftCell="A49" zoomScale="90" zoomScaleNormal="90" zoomScaleSheetLayoutView="90" workbookViewId="0">
      <selection activeCell="P41" sqref="P41"/>
    </sheetView>
  </sheetViews>
  <sheetFormatPr defaultColWidth="9" defaultRowHeight="14"/>
  <cols>
    <col min="1" max="1" width="7.58203125" style="1" customWidth="1"/>
    <col min="2" max="2" width="4" style="1" customWidth="1"/>
    <col min="3" max="3" width="34.08203125" style="1" customWidth="1"/>
    <col min="4" max="5" width="9.58203125" style="1" customWidth="1"/>
    <col min="6" max="6" width="9" style="1"/>
    <col min="7" max="7" width="9.5" style="1" customWidth="1"/>
    <col min="8" max="9" width="10.08203125" style="1" customWidth="1"/>
    <col min="10" max="10" width="6.5" style="1" customWidth="1"/>
    <col min="11" max="11" width="2.58203125" style="1" bestFit="1" customWidth="1"/>
    <col min="12" max="12" width="6.5" style="1" customWidth="1"/>
    <col min="13" max="16384" width="9" style="1"/>
  </cols>
  <sheetData>
    <row r="1" spans="1:15" s="38" customFormat="1" ht="12" hidden="1" customHeight="1">
      <c r="A1" s="202" t="s">
        <v>40</v>
      </c>
      <c r="B1" s="202" t="s">
        <v>41</v>
      </c>
      <c r="C1" s="38" t="s">
        <v>42</v>
      </c>
      <c r="D1" s="203" t="s">
        <v>40</v>
      </c>
      <c r="E1" s="203" t="s">
        <v>41</v>
      </c>
      <c r="F1" s="38" t="s">
        <v>42</v>
      </c>
      <c r="G1" s="204" t="s">
        <v>40</v>
      </c>
      <c r="H1" s="204" t="s">
        <v>41</v>
      </c>
      <c r="I1" s="38" t="s">
        <v>42</v>
      </c>
      <c r="J1" s="205" t="s">
        <v>40</v>
      </c>
      <c r="K1" s="205" t="s">
        <v>41</v>
      </c>
      <c r="L1" s="38" t="s">
        <v>42</v>
      </c>
      <c r="M1" s="210" t="s">
        <v>40</v>
      </c>
      <c r="N1" s="210" t="s">
        <v>41</v>
      </c>
      <c r="O1" s="38" t="s">
        <v>42</v>
      </c>
    </row>
    <row r="2" spans="1:15" s="38" customFormat="1" ht="12" hidden="1" customHeight="1">
      <c r="A2" s="202" t="s">
        <v>43</v>
      </c>
      <c r="B2" s="202">
        <v>1</v>
      </c>
      <c r="C2" s="38" t="s">
        <v>44</v>
      </c>
      <c r="D2" s="203" t="s">
        <v>43</v>
      </c>
      <c r="E2" s="203">
        <v>2</v>
      </c>
      <c r="F2" s="38" t="s">
        <v>44</v>
      </c>
      <c r="G2" s="204" t="s">
        <v>43</v>
      </c>
      <c r="H2" s="204">
        <v>3</v>
      </c>
      <c r="I2" s="38" t="s">
        <v>44</v>
      </c>
      <c r="J2" s="205" t="s">
        <v>43</v>
      </c>
      <c r="K2" s="205">
        <v>4</v>
      </c>
      <c r="L2" s="38" t="s">
        <v>44</v>
      </c>
      <c r="M2" s="210" t="s">
        <v>43</v>
      </c>
      <c r="N2" s="210">
        <v>82</v>
      </c>
      <c r="O2" s="38" t="s">
        <v>44</v>
      </c>
    </row>
    <row r="3" spans="1:15" s="38" customFormat="1" ht="12" hidden="1" customHeight="1">
      <c r="A3" s="206" t="s">
        <v>40</v>
      </c>
      <c r="B3" s="206" t="s">
        <v>41</v>
      </c>
      <c r="C3" s="38" t="s">
        <v>42</v>
      </c>
      <c r="D3" s="207" t="s">
        <v>40</v>
      </c>
      <c r="E3" s="207" t="s">
        <v>41</v>
      </c>
      <c r="F3" s="38" t="s">
        <v>42</v>
      </c>
      <c r="G3" s="202" t="s">
        <v>40</v>
      </c>
      <c r="H3" s="202" t="s">
        <v>41</v>
      </c>
      <c r="I3" s="38" t="s">
        <v>42</v>
      </c>
      <c r="J3" s="209" t="s">
        <v>40</v>
      </c>
      <c r="K3" s="209" t="s">
        <v>41</v>
      </c>
      <c r="L3" s="38" t="s">
        <v>42</v>
      </c>
      <c r="M3" s="203" t="s">
        <v>40</v>
      </c>
      <c r="N3" s="203" t="s">
        <v>41</v>
      </c>
      <c r="O3" s="38" t="s">
        <v>42</v>
      </c>
    </row>
    <row r="4" spans="1:15" s="38" customFormat="1" ht="12" hidden="1" customHeight="1">
      <c r="A4" s="206" t="s">
        <v>43</v>
      </c>
      <c r="B4" s="206">
        <v>5</v>
      </c>
      <c r="C4" s="38" t="s">
        <v>44</v>
      </c>
      <c r="D4" s="207" t="s">
        <v>43</v>
      </c>
      <c r="E4" s="207">
        <v>6</v>
      </c>
      <c r="F4" s="38" t="s">
        <v>44</v>
      </c>
      <c r="G4" s="202" t="s">
        <v>43</v>
      </c>
      <c r="H4" s="202">
        <v>7</v>
      </c>
      <c r="I4" s="38" t="s">
        <v>44</v>
      </c>
      <c r="J4" s="209" t="s">
        <v>43</v>
      </c>
      <c r="K4" s="209">
        <v>81</v>
      </c>
      <c r="L4" s="38" t="s">
        <v>44</v>
      </c>
      <c r="M4" s="203" t="s">
        <v>43</v>
      </c>
      <c r="N4" s="203">
        <v>84</v>
      </c>
      <c r="O4" s="38" t="s">
        <v>44</v>
      </c>
    </row>
    <row r="5" spans="1:15" s="38" customFormat="1" ht="12" hidden="1" customHeight="1">
      <c r="A5" s="1"/>
      <c r="B5" s="1"/>
      <c r="C5" s="1"/>
      <c r="D5" s="211" t="s">
        <v>40</v>
      </c>
      <c r="E5" s="211" t="s">
        <v>41</v>
      </c>
      <c r="F5" s="38" t="s">
        <v>42</v>
      </c>
      <c r="G5" s="206" t="s">
        <v>40</v>
      </c>
      <c r="H5" s="206" t="s">
        <v>41</v>
      </c>
      <c r="I5" s="38" t="s">
        <v>42</v>
      </c>
      <c r="J5" s="207" t="s">
        <v>40</v>
      </c>
      <c r="K5" s="207" t="s">
        <v>41</v>
      </c>
      <c r="L5" s="38" t="s">
        <v>42</v>
      </c>
    </row>
    <row r="6" spans="1:15" s="38" customFormat="1" ht="12" hidden="1" customHeight="1">
      <c r="A6" s="1"/>
      <c r="B6" s="1"/>
      <c r="D6" s="211" t="s">
        <v>43</v>
      </c>
      <c r="E6" s="211">
        <v>9</v>
      </c>
      <c r="F6" s="38" t="s">
        <v>44</v>
      </c>
      <c r="G6" s="206" t="s">
        <v>43</v>
      </c>
      <c r="H6" s="206">
        <v>11</v>
      </c>
      <c r="I6" s="38" t="s">
        <v>44</v>
      </c>
      <c r="J6" s="207" t="s">
        <v>43</v>
      </c>
      <c r="K6" s="207">
        <v>12</v>
      </c>
      <c r="L6" s="38" t="s">
        <v>44</v>
      </c>
    </row>
    <row r="7" spans="1:15" s="38" customFormat="1" ht="12" hidden="1" customHeight="1">
      <c r="A7" s="1"/>
      <c r="B7" s="1"/>
      <c r="C7" s="39"/>
      <c r="D7" s="208" t="s">
        <v>40</v>
      </c>
      <c r="E7" s="208" t="s">
        <v>41</v>
      </c>
      <c r="F7" s="38" t="s">
        <v>42</v>
      </c>
    </row>
    <row r="8" spans="1:15" s="38" customFormat="1" ht="12" hidden="1" customHeight="1">
      <c r="A8" s="1"/>
      <c r="B8" s="1"/>
      <c r="C8" s="39" t="s">
        <v>1079</v>
      </c>
      <c r="D8" s="208" t="s">
        <v>43</v>
      </c>
      <c r="E8" s="208">
        <v>10</v>
      </c>
      <c r="F8" s="38" t="s">
        <v>44</v>
      </c>
    </row>
    <row r="9" spans="1:15" s="38" customFormat="1" ht="12" hidden="1" customHeight="1">
      <c r="A9" s="1"/>
      <c r="B9" s="1"/>
      <c r="C9" s="39"/>
    </row>
    <row r="10" spans="1:15" ht="18">
      <c r="B10" s="30" t="str">
        <f>תוכן!B1</f>
        <v>הצעת התקציב הרגיל לשנת 2021</v>
      </c>
      <c r="C10" s="2"/>
      <c r="D10" s="2"/>
      <c r="E10" s="2"/>
      <c r="F10" s="2"/>
      <c r="G10" s="2"/>
      <c r="H10" s="2"/>
      <c r="I10" s="2"/>
    </row>
    <row r="11" spans="1:15" ht="18">
      <c r="B11" s="40" t="s">
        <v>1914</v>
      </c>
      <c r="C11" s="2"/>
      <c r="D11" s="2"/>
      <c r="E11" s="2"/>
      <c r="F11" s="2"/>
      <c r="G11" s="2"/>
      <c r="H11" s="2"/>
      <c r="I11" s="2"/>
    </row>
    <row r="13" spans="1:15" ht="12" customHeight="1" thickBot="1">
      <c r="D13" s="1117" t="s">
        <v>1167</v>
      </c>
      <c r="E13" s="1117"/>
      <c r="F13" s="1117"/>
    </row>
    <row r="14" spans="1:15" ht="18" customHeight="1">
      <c r="B14" s="140" t="s">
        <v>614</v>
      </c>
      <c r="C14" s="1118" t="s">
        <v>68</v>
      </c>
      <c r="D14" s="1120" t="s">
        <v>615</v>
      </c>
      <c r="E14" s="1121"/>
      <c r="F14" s="1122"/>
      <c r="G14" s="41" t="s">
        <v>66</v>
      </c>
      <c r="H14" s="1120" t="s">
        <v>67</v>
      </c>
      <c r="I14" s="1123"/>
    </row>
    <row r="15" spans="1:15" ht="17.25" customHeight="1">
      <c r="B15" s="160" t="s">
        <v>41</v>
      </c>
      <c r="C15" s="1119"/>
      <c r="D15" s="147" t="s">
        <v>69</v>
      </c>
      <c r="E15" s="147" t="s">
        <v>70</v>
      </c>
      <c r="F15" s="42" t="s">
        <v>71</v>
      </c>
      <c r="G15" s="42" t="s">
        <v>72</v>
      </c>
      <c r="H15" s="147" t="s">
        <v>73</v>
      </c>
      <c r="I15" s="148" t="s">
        <v>74</v>
      </c>
    </row>
    <row r="16" spans="1:15" ht="22.5" customHeight="1">
      <c r="B16" s="158">
        <v>1</v>
      </c>
      <c r="C16" s="43" t="s">
        <v>75</v>
      </c>
      <c r="D16" s="141">
        <f>DSUM('תשלומים מפורט'!$C$2:$J$1782,8,A1:B2)</f>
        <v>23905</v>
      </c>
      <c r="E16" s="141">
        <f>F16-D16</f>
        <v>30084</v>
      </c>
      <c r="F16" s="149">
        <f>DSUM('תשלומים מפורט'!$C$2:$J$1782,8,B1:B2)</f>
        <v>53989</v>
      </c>
      <c r="G16" s="44">
        <f>F16/$F$30</f>
        <v>5.6580381649278082E-2</v>
      </c>
      <c r="H16" s="141">
        <f>DSUM('תשלומים מפורט'!$C$2:$J$1782,8,B1:C2)</f>
        <v>16967</v>
      </c>
      <c r="I16" s="142">
        <f>F16-H16</f>
        <v>37022</v>
      </c>
    </row>
    <row r="17" spans="1:17" ht="22.5" customHeight="1">
      <c r="B17" s="158">
        <v>2</v>
      </c>
      <c r="C17" s="43" t="s">
        <v>76</v>
      </c>
      <c r="D17" s="141">
        <f>DSUM('תשלומים מפורט'!$C$2:$J$1782,8,D1:E2)</f>
        <v>17190</v>
      </c>
      <c r="E17" s="141">
        <f>F17-D17</f>
        <v>20759</v>
      </c>
      <c r="F17" s="149">
        <f>DSUM('תשלומים מפורט'!$C$2:$J$1782,8,E1:E2)-'תקבולים מפורט'!G15-סעיפים!D20</f>
        <v>37949</v>
      </c>
      <c r="G17" s="44">
        <f>F17/$F$30</f>
        <v>3.9770488492256832E-2</v>
      </c>
      <c r="H17" s="141">
        <f>DSUM('תשלומים מפורט'!$C$2:$J$1782,8,E1:F2)</f>
        <v>1000</v>
      </c>
      <c r="I17" s="142">
        <f t="shared" ref="I17:I29" si="0">F17-H17</f>
        <v>36949</v>
      </c>
    </row>
    <row r="18" spans="1:17" ht="22.5" customHeight="1">
      <c r="B18" s="158">
        <v>3</v>
      </c>
      <c r="C18" s="43" t="s">
        <v>2369</v>
      </c>
      <c r="D18" s="141">
        <f>DSUM('תשלומים מפורט'!$C$2:$J$1782,8,G1:H2)</f>
        <v>13309</v>
      </c>
      <c r="E18" s="141">
        <f t="shared" ref="E18:E29" si="1">F18-D18</f>
        <v>96782</v>
      </c>
      <c r="F18" s="149">
        <f>DSUM('תשלומים מפורט'!$C$2:$J$1782,8,H1:H2)</f>
        <v>110091</v>
      </c>
      <c r="G18" s="44">
        <f t="shared" ref="G18:G29" si="2">F18/$F$30</f>
        <v>0.11537518376244556</v>
      </c>
      <c r="H18" s="141">
        <f>DSUM('תשלומים מפורט'!$C$2:$J$1782,8,H1:I2)</f>
        <v>3853</v>
      </c>
      <c r="I18" s="142">
        <f t="shared" si="0"/>
        <v>106238</v>
      </c>
    </row>
    <row r="19" spans="1:17" ht="22.5" customHeight="1">
      <c r="B19" s="158">
        <v>4</v>
      </c>
      <c r="C19" s="43" t="s">
        <v>2370</v>
      </c>
      <c r="D19" s="141">
        <f>DSUM('תשלומים מפורט'!$C$2:$J$1782,8,J1:K2)</f>
        <v>20651</v>
      </c>
      <c r="E19" s="141">
        <f t="shared" si="1"/>
        <v>5643</v>
      </c>
      <c r="F19" s="149">
        <f>DSUM('תשלומים מפורט'!$C$2:$J$1782,8,K1:K2)</f>
        <v>26294</v>
      </c>
      <c r="G19" s="44">
        <f t="shared" si="2"/>
        <v>2.7556067996927485E-2</v>
      </c>
      <c r="H19" s="141">
        <f>DSUM('תשלומים מפורט'!$C$2:$J$1782,8,K1:L2)</f>
        <v>1371</v>
      </c>
      <c r="I19" s="142">
        <f t="shared" si="0"/>
        <v>24923</v>
      </c>
    </row>
    <row r="20" spans="1:17" ht="22.5" customHeight="1">
      <c r="B20" s="158">
        <v>5</v>
      </c>
      <c r="C20" s="43" t="s">
        <v>2371</v>
      </c>
      <c r="D20" s="141">
        <f>DSUM('תשלומים מפורט'!$C$2:$J$1782,8,A3:B4)</f>
        <v>15692</v>
      </c>
      <c r="E20" s="141">
        <f t="shared" si="1"/>
        <v>35635</v>
      </c>
      <c r="F20" s="149">
        <f>DSUM('תשלומים מפורט'!$C$2:$J$1782,8,B3:B4)</f>
        <v>51327</v>
      </c>
      <c r="G20" s="44">
        <f t="shared" si="2"/>
        <v>5.3790610104141511E-2</v>
      </c>
      <c r="H20" s="141">
        <f>DSUM('תשלומים מפורט'!$C$2:$J$1782,8,B3:C4)</f>
        <v>10279</v>
      </c>
      <c r="I20" s="142">
        <f t="shared" si="0"/>
        <v>41048</v>
      </c>
    </row>
    <row r="21" spans="1:17" ht="22.5" customHeight="1">
      <c r="B21" s="158">
        <v>6</v>
      </c>
      <c r="C21" s="43" t="s">
        <v>2372</v>
      </c>
      <c r="D21" s="141">
        <f>DSUM('תשלומים מפורט'!$C$2:$J$1782,8,D3:E4)</f>
        <v>13640</v>
      </c>
      <c r="E21" s="141">
        <f t="shared" si="1"/>
        <v>5291</v>
      </c>
      <c r="F21" s="149">
        <f>DSUM('תשלומים מפורט'!$C$2:$J$1782,8,E3:E4)</f>
        <v>18931</v>
      </c>
      <c r="G21" s="44">
        <f t="shared" si="2"/>
        <v>1.9839656318925768E-2</v>
      </c>
      <c r="H21" s="141">
        <f>DSUM('תשלומים מפורט'!$C$2:$J$1782,8,E3:F4)</f>
        <v>851</v>
      </c>
      <c r="I21" s="142">
        <f t="shared" si="0"/>
        <v>18080</v>
      </c>
    </row>
    <row r="22" spans="1:17" ht="30" customHeight="1">
      <c r="B22" s="158">
        <v>7</v>
      </c>
      <c r="C22" s="534" t="s">
        <v>1868</v>
      </c>
      <c r="D22" s="141">
        <f>DSUM('תשלומים מפורט'!$C$2:$J$1782,8,G3:H4)</f>
        <v>36249.997000000003</v>
      </c>
      <c r="E22" s="141">
        <f t="shared" si="1"/>
        <v>21369</v>
      </c>
      <c r="F22" s="149">
        <f>DSUM('תשלומים מפורט'!$C$2:$J$1782,8,H3:H4)</f>
        <v>57618.997000000003</v>
      </c>
      <c r="G22" s="44">
        <f>F22/$F$30</f>
        <v>6.0384612430469338E-2</v>
      </c>
      <c r="H22" s="141">
        <f>DSUM('תשלומים מפורט'!$C$2:$J$1782,8,H3:I4)</f>
        <v>440</v>
      </c>
      <c r="I22" s="142">
        <f t="shared" si="0"/>
        <v>57178.997000000003</v>
      </c>
    </row>
    <row r="23" spans="1:17" ht="22.5" customHeight="1">
      <c r="A23" s="45" t="s">
        <v>493</v>
      </c>
      <c r="B23" s="158">
        <v>81</v>
      </c>
      <c r="C23" s="139" t="s">
        <v>1705</v>
      </c>
      <c r="D23" s="141">
        <f>DSUM('תשלומים מפורט'!$C$2:$J$1782,8,J3:K4)</f>
        <v>249911</v>
      </c>
      <c r="E23" s="141">
        <f t="shared" si="1"/>
        <v>102366</v>
      </c>
      <c r="F23" s="149">
        <f>DSUM('תשלומים מפורט'!$C$2:$J$1782,8,K3:K4)</f>
        <v>352277</v>
      </c>
      <c r="G23" s="466">
        <f>F23/$F$30</f>
        <v>0.3691857064635895</v>
      </c>
      <c r="H23" s="141">
        <f>DSUM('תשלומים מפורט'!$C$2:$J$1782,8,K3:L4)</f>
        <v>35541</v>
      </c>
      <c r="I23" s="142">
        <f t="shared" si="0"/>
        <v>316736</v>
      </c>
    </row>
    <row r="24" spans="1:17" ht="22.5" customHeight="1">
      <c r="A24" s="45"/>
      <c r="B24" s="158">
        <v>82</v>
      </c>
      <c r="C24" s="43" t="s">
        <v>2373</v>
      </c>
      <c r="D24" s="141">
        <f>DSUM('תשלומים מפורט'!$C$2:$J$1782,8,M1:N2)</f>
        <v>17853</v>
      </c>
      <c r="E24" s="141">
        <f>F24-D24</f>
        <v>55244</v>
      </c>
      <c r="F24" s="149">
        <f>DSUM('תשלומים מפורט'!$C$2:$J$1782,8,N1:N2)</f>
        <v>73097</v>
      </c>
      <c r="G24" s="44">
        <f>F24/$F$30</f>
        <v>7.6605533671993922E-2</v>
      </c>
      <c r="H24" s="141">
        <f>DSUM('תשלומים מפורט'!$C$2:$J$1782,8,N1:O2)</f>
        <v>13587</v>
      </c>
      <c r="I24" s="142">
        <f>F24-H24</f>
        <v>59510</v>
      </c>
    </row>
    <row r="25" spans="1:17" ht="22.5" customHeight="1">
      <c r="A25" s="45"/>
      <c r="B25" s="158">
        <v>84</v>
      </c>
      <c r="C25" s="43" t="s">
        <v>48</v>
      </c>
      <c r="D25" s="141">
        <f>DSUM('תשלומים מפורט'!$C$2:$J$1782,8,M3:N4)</f>
        <v>30340</v>
      </c>
      <c r="E25" s="141">
        <f>F25-D25</f>
        <v>84660</v>
      </c>
      <c r="F25" s="149">
        <f>DSUM('תשלומים מפורט'!$C$2:$J$1782,8,N3:N4)</f>
        <v>115000</v>
      </c>
      <c r="G25" s="44">
        <f t="shared" si="2"/>
        <v>0.1205198075472222</v>
      </c>
      <c r="H25" s="141">
        <f>DSUM('תשלומים מפורט'!$C$2:$J$1782,8,N3:O4)</f>
        <v>5085</v>
      </c>
      <c r="I25" s="142">
        <f>F25-H25</f>
        <v>109915</v>
      </c>
    </row>
    <row r="26" spans="1:17" ht="22.5" customHeight="1">
      <c r="A26" s="45"/>
      <c r="B26" s="158">
        <v>9</v>
      </c>
      <c r="C26" s="43" t="s">
        <v>2374</v>
      </c>
      <c r="D26" s="141">
        <f>DSUM('תשלומים מפורט'!$C$2:$J$1782,8,D5:E6)</f>
        <v>17555</v>
      </c>
      <c r="E26" s="141">
        <f>F26-D26</f>
        <v>13177</v>
      </c>
      <c r="F26" s="149">
        <f>DSUM('תשלומים מפורט'!$C$2:$J$1782,8,E5:E6)</f>
        <v>30732</v>
      </c>
      <c r="G26" s="44">
        <f t="shared" si="2"/>
        <v>3.2207084569923765E-2</v>
      </c>
      <c r="H26" s="141">
        <f>DSUM('תשלומים מפורט'!$C$2:$J$1782,8,E5:F6)</f>
        <v>1261</v>
      </c>
      <c r="I26" s="142">
        <f>F26-H26</f>
        <v>29471</v>
      </c>
    </row>
    <row r="27" spans="1:17" ht="22.5" customHeight="1">
      <c r="B27" s="158">
        <v>10</v>
      </c>
      <c r="C27" s="43" t="s">
        <v>2375</v>
      </c>
      <c r="D27" s="141">
        <f>DSUM('תשלומים מפורט'!$C$2:$J$1782,8,D7:E8)</f>
        <v>3567</v>
      </c>
      <c r="E27" s="141">
        <f>F27-D27</f>
        <v>12229</v>
      </c>
      <c r="F27" s="149">
        <f>DSUM('תשלומים מפורט'!$C$2:$J$1782,8,E7:E8)</f>
        <v>15796</v>
      </c>
      <c r="G27" s="44">
        <f t="shared" si="2"/>
        <v>1.6554181565355843E-2</v>
      </c>
      <c r="H27" s="141">
        <f>DSUM('תשלומים מפורט'!$C$2:$J$1782,8,E7:F8)</f>
        <v>1138</v>
      </c>
      <c r="I27" s="142">
        <f>F27-H27</f>
        <v>14658</v>
      </c>
    </row>
    <row r="28" spans="1:17" ht="22.5" customHeight="1">
      <c r="B28" s="158">
        <v>11</v>
      </c>
      <c r="C28" s="43" t="s">
        <v>886</v>
      </c>
      <c r="D28" s="141">
        <f>DSUM('תשלומים מפורט'!$C$2:$J$1782,8,G5:H6)</f>
        <v>3210</v>
      </c>
      <c r="E28" s="141">
        <f t="shared" si="1"/>
        <v>2472</v>
      </c>
      <c r="F28" s="149">
        <f>DSUM('תשלומים מפורט'!$C$2:$J$1782,8,H5:H6)</f>
        <v>5682</v>
      </c>
      <c r="G28" s="44">
        <f t="shared" si="2"/>
        <v>5.9547264911592743E-3</v>
      </c>
      <c r="H28" s="141">
        <f>DSUM('תשלומים מפורט'!$C$2:$J$1782,8,H5:I6)</f>
        <v>1225</v>
      </c>
      <c r="I28" s="142">
        <f>F28-H28</f>
        <v>4457</v>
      </c>
    </row>
    <row r="29" spans="1:17" ht="22.5" customHeight="1">
      <c r="B29" s="159">
        <v>12</v>
      </c>
      <c r="C29" s="46" t="s">
        <v>2376</v>
      </c>
      <c r="D29" s="143">
        <f>DSUM('תשלומים מפורט'!$C$2:$J$1782,8,J5:K6)</f>
        <v>1677</v>
      </c>
      <c r="E29" s="143">
        <f t="shared" si="1"/>
        <v>3739</v>
      </c>
      <c r="F29" s="150">
        <f>DSUM('תשלומים מפורט'!$C$2:$J$1782,8,K5:K6)</f>
        <v>5416</v>
      </c>
      <c r="G29" s="47">
        <f t="shared" si="2"/>
        <v>5.6759589363109169E-3</v>
      </c>
      <c r="H29" s="143">
        <f>DSUM('תשלומים מפורט'!$C$2:$J$1782,8,K5:L6)</f>
        <v>3739</v>
      </c>
      <c r="I29" s="144">
        <f t="shared" si="0"/>
        <v>1677</v>
      </c>
    </row>
    <row r="30" spans="1:17" ht="24.75" customHeight="1" thickBot="1">
      <c r="B30" s="87" t="s">
        <v>1706</v>
      </c>
      <c r="C30" s="88"/>
      <c r="D30" s="151">
        <f t="shared" ref="D30:I30" si="3">SUM(D16:D29)</f>
        <v>464749.99699999997</v>
      </c>
      <c r="E30" s="151">
        <f t="shared" si="3"/>
        <v>489450</v>
      </c>
      <c r="F30" s="151">
        <f t="shared" si="3"/>
        <v>954199.99699999997</v>
      </c>
      <c r="G30" s="48">
        <f t="shared" si="3"/>
        <v>0.99999999999999989</v>
      </c>
      <c r="H30" s="145">
        <f t="shared" si="3"/>
        <v>96337</v>
      </c>
      <c r="I30" s="146">
        <f t="shared" si="3"/>
        <v>857862.99699999997</v>
      </c>
      <c r="K30" s="49"/>
      <c r="P30" s="37"/>
      <c r="Q30" s="346"/>
    </row>
    <row r="31" spans="1:17" ht="16.5" customHeight="1">
      <c r="B31" s="93" t="s">
        <v>1165</v>
      </c>
      <c r="C31" s="89"/>
      <c r="D31" s="152" t="s">
        <v>888</v>
      </c>
      <c r="E31" s="153">
        <f>'תקבולים מפורט'!G15</f>
        <v>63000</v>
      </c>
      <c r="F31" s="154">
        <f>E31</f>
        <v>63000</v>
      </c>
      <c r="G31" s="86">
        <f>H30+I30</f>
        <v>954199.99699999997</v>
      </c>
      <c r="H31" s="155"/>
      <c r="I31" s="155"/>
      <c r="K31" s="49"/>
      <c r="P31" s="37"/>
      <c r="Q31" s="346"/>
    </row>
    <row r="32" spans="1:17" ht="16.5" customHeight="1" thickBot="1">
      <c r="B32" s="94" t="s">
        <v>1166</v>
      </c>
      <c r="C32" s="90"/>
      <c r="D32" s="156">
        <f>SUM(D30:D31)</f>
        <v>464749.99699999997</v>
      </c>
      <c r="E32" s="156">
        <f>SUM(E30:E31)</f>
        <v>552450</v>
      </c>
      <c r="F32" s="157">
        <f>SUM(F30:F31)</f>
        <v>1017199.997</v>
      </c>
      <c r="G32" s="85"/>
      <c r="H32" s="155"/>
      <c r="I32" s="155"/>
      <c r="K32" s="49"/>
      <c r="P32" s="37"/>
      <c r="Q32" s="346"/>
    </row>
    <row r="33" spans="1:17" ht="19.5" customHeight="1">
      <c r="A33" s="45" t="s">
        <v>493</v>
      </c>
      <c r="B33" s="38" t="s">
        <v>1869</v>
      </c>
      <c r="C33" s="51"/>
      <c r="D33" s="52"/>
      <c r="P33" s="37"/>
      <c r="Q33" s="346"/>
    </row>
    <row r="34" spans="1:17" ht="13.5" customHeight="1">
      <c r="D34" s="52"/>
      <c r="H34" s="50"/>
      <c r="P34" s="37"/>
      <c r="Q34" s="249"/>
    </row>
    <row r="36" spans="1:17" ht="18">
      <c r="B36" s="30" t="str">
        <f>B10</f>
        <v>הצעת התקציב הרגיל לשנת 2021</v>
      </c>
      <c r="C36" s="2"/>
      <c r="D36" s="2"/>
      <c r="E36" s="2"/>
      <c r="F36" s="2"/>
      <c r="G36" s="2"/>
      <c r="H36" s="2"/>
      <c r="I36" s="2"/>
    </row>
    <row r="37" spans="1:17" ht="15" customHeight="1">
      <c r="A37" s="1115" t="s">
        <v>92</v>
      </c>
      <c r="B37" s="1115"/>
      <c r="C37" s="1115"/>
      <c r="D37" s="1115"/>
      <c r="E37" s="1115"/>
      <c r="F37" s="1115"/>
      <c r="G37" s="1115"/>
      <c r="H37" s="1115"/>
      <c r="I37" s="1115"/>
      <c r="J37" s="1115"/>
      <c r="K37" s="1115"/>
    </row>
    <row r="38" spans="1:17" ht="21.75" customHeight="1">
      <c r="A38" s="1116" t="s">
        <v>889</v>
      </c>
      <c r="B38" s="1116"/>
      <c r="C38" s="1116"/>
      <c r="D38" s="1116"/>
      <c r="E38" s="1116"/>
      <c r="F38" s="1116"/>
      <c r="G38" s="1116"/>
      <c r="H38" s="1116"/>
      <c r="I38" s="1116"/>
      <c r="J38" s="1116"/>
      <c r="K38" s="1116"/>
    </row>
    <row r="109" spans="8:8">
      <c r="H109" s="1">
        <v>5</v>
      </c>
    </row>
    <row r="198" spans="6:6">
      <c r="F198" s="1" t="s">
        <v>365</v>
      </c>
    </row>
    <row r="226" spans="8:8">
      <c r="H226" s="1">
        <v>7</v>
      </c>
    </row>
    <row r="259" spans="8:8">
      <c r="H259" s="1">
        <v>7</v>
      </c>
    </row>
    <row r="275" spans="8:8">
      <c r="H275" s="1">
        <v>3.7</v>
      </c>
    </row>
    <row r="284" spans="8:8">
      <c r="H284" s="1">
        <v>0.88</v>
      </c>
    </row>
    <row r="306" spans="8:8">
      <c r="H306" s="1">
        <v>2.75</v>
      </c>
    </row>
    <row r="326" spans="8:8">
      <c r="H326" s="1">
        <v>7.5</v>
      </c>
    </row>
    <row r="342" spans="8:8">
      <c r="H342" s="1">
        <v>3.28</v>
      </c>
    </row>
    <row r="349" spans="8:8">
      <c r="H349" s="1">
        <v>9</v>
      </c>
    </row>
    <row r="357" spans="8:8">
      <c r="H357" s="1">
        <v>3</v>
      </c>
    </row>
    <row r="371" spans="8:8">
      <c r="H371" s="1">
        <v>4</v>
      </c>
    </row>
    <row r="394" spans="8:8">
      <c r="H394" s="1">
        <v>1</v>
      </c>
    </row>
    <row r="418" spans="8:8">
      <c r="H418" s="1">
        <v>2</v>
      </c>
    </row>
    <row r="419" spans="8:8">
      <c r="H419" s="1">
        <v>2</v>
      </c>
    </row>
    <row r="459" spans="8:8">
      <c r="H459" s="1">
        <v>0</v>
      </c>
    </row>
    <row r="475" spans="8:8">
      <c r="H475" s="1">
        <v>0.5</v>
      </c>
    </row>
    <row r="483" spans="8:8">
      <c r="H483" s="1">
        <v>0</v>
      </c>
    </row>
    <row r="505" spans="8:8">
      <c r="H505" s="1">
        <v>2</v>
      </c>
    </row>
    <row r="518" spans="8:8">
      <c r="H518" s="1">
        <v>2</v>
      </c>
    </row>
    <row r="527" spans="8:8">
      <c r="H527" s="1">
        <v>1</v>
      </c>
    </row>
    <row r="555" spans="8:8">
      <c r="H555" s="1">
        <v>2</v>
      </c>
    </row>
    <row r="567" spans="8:8">
      <c r="H567" s="1">
        <v>5</v>
      </c>
    </row>
    <row r="597" spans="8:8">
      <c r="H597" s="1">
        <v>0</v>
      </c>
    </row>
    <row r="602" spans="8:8">
      <c r="H602" s="1">
        <v>11.25</v>
      </c>
    </row>
    <row r="618" spans="8:8">
      <c r="H618" s="1">
        <v>16.989999999999998</v>
      </c>
    </row>
    <row r="634" spans="8:8">
      <c r="H634" s="1">
        <v>1</v>
      </c>
    </row>
    <row r="640" spans="8:8">
      <c r="H640" s="1">
        <v>0</v>
      </c>
    </row>
    <row r="644" spans="8:8">
      <c r="H644" s="1">
        <v>2</v>
      </c>
    </row>
    <row r="645" spans="8:8">
      <c r="H645" s="1">
        <v>3</v>
      </c>
    </row>
    <row r="648" spans="8:8">
      <c r="H648" s="1">
        <v>0.68</v>
      </c>
    </row>
    <row r="664" spans="8:8">
      <c r="H664" s="1">
        <v>2</v>
      </c>
    </row>
    <row r="704" spans="8:8">
      <c r="H704" s="1">
        <v>4</v>
      </c>
    </row>
    <row r="755" spans="8:8">
      <c r="H755" s="1">
        <v>2</v>
      </c>
    </row>
    <row r="784" spans="8:8">
      <c r="H784" s="1">
        <v>2.61</v>
      </c>
    </row>
    <row r="786" spans="8:8">
      <c r="H786" s="1">
        <v>0</v>
      </c>
    </row>
    <row r="787" spans="8:8">
      <c r="H787" s="1">
        <v>0</v>
      </c>
    </row>
    <row r="788" spans="8:8">
      <c r="H788" s="1">
        <v>0</v>
      </c>
    </row>
    <row r="789" spans="8:8">
      <c r="H789" s="1">
        <v>0</v>
      </c>
    </row>
    <row r="809" spans="8:8">
      <c r="H809" s="1">
        <v>2.75</v>
      </c>
    </row>
    <row r="819" spans="8:8">
      <c r="H819" s="1">
        <v>1</v>
      </c>
    </row>
    <row r="849" spans="8:8">
      <c r="H849" s="1">
        <v>0.5</v>
      </c>
    </row>
    <row r="871" spans="8:8">
      <c r="H871" s="1">
        <v>5.35</v>
      </c>
    </row>
    <row r="891" spans="8:8">
      <c r="H891" s="1">
        <v>2</v>
      </c>
    </row>
    <row r="900" spans="8:8">
      <c r="H900" s="1">
        <v>2.5</v>
      </c>
    </row>
    <row r="921" spans="8:8">
      <c r="H921" s="1">
        <v>17.46</v>
      </c>
    </row>
    <row r="941" spans="8:8">
      <c r="H941" s="1">
        <v>0.5</v>
      </c>
    </row>
    <row r="944" spans="8:8">
      <c r="H944" s="1">
        <v>0.8</v>
      </c>
    </row>
    <row r="951" spans="8:8">
      <c r="H951" s="1">
        <v>0.8</v>
      </c>
    </row>
    <row r="959" spans="8:8">
      <c r="H959" s="1">
        <v>1</v>
      </c>
    </row>
    <row r="966" spans="8:8">
      <c r="H966" s="1">
        <v>1.2</v>
      </c>
    </row>
    <row r="967" spans="8:8">
      <c r="H967" s="1">
        <v>0.5</v>
      </c>
    </row>
    <row r="968" spans="8:8">
      <c r="H968" s="1">
        <v>1</v>
      </c>
    </row>
    <row r="973" spans="8:8">
      <c r="H973" s="1">
        <v>0.67</v>
      </c>
    </row>
    <row r="974" spans="8:8">
      <c r="H974" s="1">
        <v>1.5</v>
      </c>
    </row>
    <row r="998" spans="8:8">
      <c r="H998" s="1">
        <v>0</v>
      </c>
    </row>
    <row r="1008" spans="8:8">
      <c r="H1008" s="1">
        <v>1.03</v>
      </c>
    </row>
    <row r="1064" spans="8:8">
      <c r="H1064" s="1">
        <v>1.5</v>
      </c>
    </row>
    <row r="1084" spans="8:8">
      <c r="H1084" s="1">
        <v>3</v>
      </c>
    </row>
    <row r="1097" spans="8:8">
      <c r="H1097" s="1">
        <v>0</v>
      </c>
    </row>
    <row r="1101" spans="8:8">
      <c r="H1101" s="1">
        <v>1.5</v>
      </c>
    </row>
    <row r="1126" spans="8:8">
      <c r="H1126" s="1">
        <v>2</v>
      </c>
    </row>
    <row r="1139" spans="8:8">
      <c r="H1139" s="1">
        <v>6.25</v>
      </c>
    </row>
    <row r="1149" spans="8:8">
      <c r="H1149" s="1">
        <v>1</v>
      </c>
    </row>
    <row r="1155" spans="8:8">
      <c r="H1155" s="1">
        <v>0.33</v>
      </c>
    </row>
    <row r="1177" spans="8:8">
      <c r="H1177" s="1">
        <v>1</v>
      </c>
    </row>
    <row r="1188" spans="8:8">
      <c r="H1188" s="1">
        <v>2</v>
      </c>
    </row>
    <row r="1191" spans="8:8">
      <c r="H1191" s="1">
        <v>1</v>
      </c>
    </row>
    <row r="1201" spans="8:8">
      <c r="H1201" s="1">
        <v>0</v>
      </c>
    </row>
    <row r="1213" spans="8:8">
      <c r="H1213" s="1">
        <v>2</v>
      </c>
    </row>
    <row r="1256" spans="8:8">
      <c r="H1256" s="1">
        <v>0</v>
      </c>
    </row>
    <row r="1311" spans="8:8">
      <c r="H1311" s="1">
        <v>0.44</v>
      </c>
    </row>
    <row r="1328" spans="8:8">
      <c r="H1328" s="1">
        <v>0.85</v>
      </c>
    </row>
    <row r="1356" spans="8:8">
      <c r="H1356" s="1">
        <v>0.74</v>
      </c>
    </row>
    <row r="1431" spans="8:8">
      <c r="H1431" s="1">
        <v>10</v>
      </c>
    </row>
    <row r="1436" spans="8:8">
      <c r="H1436" s="1">
        <v>4</v>
      </c>
    </row>
    <row r="1466" spans="8:8">
      <c r="H1466" s="1">
        <v>1.35</v>
      </c>
    </row>
    <row r="1521" spans="8:8">
      <c r="H1521" s="1">
        <v>1</v>
      </c>
    </row>
    <row r="1538" spans="8:8">
      <c r="H1538" s="1">
        <v>0</v>
      </c>
    </row>
    <row r="1554" spans="8:8">
      <c r="H1554" s="1">
        <v>0</v>
      </c>
    </row>
    <row r="1652" spans="10:10">
      <c r="J1652" s="1">
        <v>50</v>
      </c>
    </row>
    <row r="1819" spans="10:10">
      <c r="J1819" s="1">
        <f>29950-720-450-50</f>
        <v>28730</v>
      </c>
    </row>
  </sheetData>
  <mergeCells count="6">
    <mergeCell ref="A37:K37"/>
    <mergeCell ref="A38:K38"/>
    <mergeCell ref="D13:F13"/>
    <mergeCell ref="C14:C15"/>
    <mergeCell ref="D14:F14"/>
    <mergeCell ref="H14:I14"/>
  </mergeCells>
  <phoneticPr fontId="12" type="noConversion"/>
  <conditionalFormatting sqref="Q34">
    <cfRule type="cellIs" dxfId="24" priority="1" stopIfTrue="1" operator="notEqual">
      <formula>0</formula>
    </cfRule>
    <cfRule type="cellIs" dxfId="23" priority="2" stopIfTrue="1" operator="equal">
      <formula>0</formula>
    </cfRule>
  </conditionalFormatting>
  <printOptions horizontalCentered="1"/>
  <pageMargins left="0.74803149606299213" right="0.6692913385826772" top="1.1023622047244095" bottom="0.55118110236220474" header="0.43307086614173229" footer="0.27559055118110237"/>
  <pageSetup paperSize="9" scale="95"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34" max="10" man="1"/>
    <brk id="65" max="16383" man="1"/>
    <brk id="220" max="16383" man="1"/>
    <brk id="232" max="16383" man="1"/>
    <brk id="120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18"/>
  <sheetViews>
    <sheetView showGridLines="0" rightToLeft="1" view="pageBreakPreview" topLeftCell="A34" zoomScale="90" zoomScaleNormal="100" zoomScaleSheetLayoutView="90" workbookViewId="0">
      <selection activeCell="C48" sqref="C48:F51"/>
    </sheetView>
  </sheetViews>
  <sheetFormatPr defaultColWidth="9" defaultRowHeight="14"/>
  <cols>
    <col min="1" max="1" width="14" style="216" customWidth="1"/>
    <col min="2" max="2" width="4.08203125" style="216" customWidth="1"/>
    <col min="3" max="3" width="6.58203125" style="216" customWidth="1"/>
    <col min="4" max="4" width="56.58203125" style="216" bestFit="1" customWidth="1"/>
    <col min="5" max="16384" width="9" style="216"/>
  </cols>
  <sheetData>
    <row r="1" spans="2:7" ht="15.75" customHeight="1">
      <c r="B1" s="218" t="str">
        <f>תוכן!B1</f>
        <v>הצעת התקציב הרגיל לשנת 2021</v>
      </c>
      <c r="C1" s="218"/>
      <c r="D1" s="218"/>
      <c r="E1" s="218"/>
      <c r="F1" s="218"/>
      <c r="G1" s="218"/>
    </row>
    <row r="2" spans="2:7" ht="16.5" customHeight="1" thickBot="1">
      <c r="B2" s="218" t="s">
        <v>1327</v>
      </c>
      <c r="C2" s="219"/>
      <c r="D2" s="219"/>
      <c r="E2" s="219"/>
      <c r="F2" s="219"/>
      <c r="G2" s="219"/>
    </row>
    <row r="3" spans="2:7">
      <c r="B3" s="1124" t="s">
        <v>649</v>
      </c>
      <c r="C3" s="1127" t="s">
        <v>650</v>
      </c>
      <c r="D3" s="1130" t="s">
        <v>1399</v>
      </c>
      <c r="E3" s="223" t="s">
        <v>780</v>
      </c>
      <c r="F3" s="1133" t="s">
        <v>999</v>
      </c>
      <c r="G3" s="1134"/>
    </row>
    <row r="4" spans="2:7">
      <c r="B4" s="1125"/>
      <c r="C4" s="1128"/>
      <c r="D4" s="1131"/>
      <c r="E4" s="431" t="str">
        <f>סעיפים!D5</f>
        <v>2021</v>
      </c>
      <c r="F4" s="432" t="s">
        <v>1000</v>
      </c>
      <c r="G4" s="433" t="s">
        <v>648</v>
      </c>
    </row>
    <row r="5" spans="2:7">
      <c r="B5" s="1126"/>
      <c r="C5" s="1129"/>
      <c r="D5" s="1132"/>
      <c r="E5" s="434" t="s">
        <v>295</v>
      </c>
      <c r="F5" s="435" t="s">
        <v>263</v>
      </c>
      <c r="G5" s="436" t="s">
        <v>264</v>
      </c>
    </row>
    <row r="6" spans="2:7" ht="21" customHeight="1">
      <c r="B6" s="437"/>
      <c r="C6" s="438" t="str">
        <f>'תקבולים מפורט'!E16</f>
        <v>11.</v>
      </c>
      <c r="D6" s="439" t="s">
        <v>265</v>
      </c>
      <c r="E6" s="413">
        <f>'תקבולים מפורט'!G10</f>
        <v>570000</v>
      </c>
      <c r="F6" s="440">
        <f t="shared" ref="F6:F44" si="0">E6/$E$45</f>
        <v>0.75474995928322586</v>
      </c>
      <c r="G6" s="441">
        <f>E6/סעיפים!$D$11</f>
        <v>0.55339805825242716</v>
      </c>
    </row>
    <row r="7" spans="2:7" ht="21" customHeight="1">
      <c r="B7" s="437"/>
      <c r="C7" s="438" t="s">
        <v>266</v>
      </c>
      <c r="D7" s="442" t="s">
        <v>267</v>
      </c>
      <c r="E7" s="474">
        <f>'תקבולים מפורט'!G15</f>
        <v>63000</v>
      </c>
      <c r="F7" s="440">
        <f t="shared" si="0"/>
        <v>8.3419732341830227E-2</v>
      </c>
      <c r="G7" s="441">
        <f>E7/סעיפים!$D$11</f>
        <v>6.1165048543689322E-2</v>
      </c>
    </row>
    <row r="8" spans="2:7" ht="21" customHeight="1">
      <c r="B8" s="437">
        <f>'תקבולים מפורט'!D19</f>
        <v>220</v>
      </c>
      <c r="C8" s="443">
        <f>'תקבולים מפורט'!E19</f>
        <v>122000</v>
      </c>
      <c r="D8" s="444" t="str">
        <f>'תקבולים מפורט'!F19</f>
        <v>אגרת רשיונות לשלטים</v>
      </c>
      <c r="E8" s="413">
        <f>'תקבולים מפורט'!G19</f>
        <v>2200</v>
      </c>
      <c r="F8" s="440">
        <f t="shared" si="0"/>
        <v>2.913070018286135E-3</v>
      </c>
      <c r="G8" s="441">
        <f>E8/סעיפים!$D$11</f>
        <v>2.1359223300970874E-3</v>
      </c>
    </row>
    <row r="9" spans="2:7" ht="26">
      <c r="B9" s="437">
        <f>'תקבולים מפורט'!D26</f>
        <v>220</v>
      </c>
      <c r="C9" s="443">
        <f>'תקבולים מפורט'!E26</f>
        <v>212100</v>
      </c>
      <c r="D9" s="445" t="str">
        <f>'תקבולים מפורט'!F26</f>
        <v xml:space="preserve">החזר בגין פינוי פסולת אריזות -תמי"ר (כולל דמ"ש בפחים כתומים) (הוצאות בסעיף 7121/752) </v>
      </c>
      <c r="E9" s="413">
        <f>'תקבולים מפורט'!G26</f>
        <v>1050</v>
      </c>
      <c r="F9" s="440">
        <f t="shared" si="0"/>
        <v>1.3903288723638371E-3</v>
      </c>
      <c r="G9" s="441">
        <f>E9/סעיפים!$D$11</f>
        <v>1.0194174757281553E-3</v>
      </c>
    </row>
    <row r="10" spans="2:7" ht="21" customHeight="1">
      <c r="B10" s="437">
        <f>'תקבולים מפורט'!D27</f>
        <v>221</v>
      </c>
      <c r="C10" s="443">
        <f>'תקבולים מפורט'!E27</f>
        <v>212100</v>
      </c>
      <c r="D10" s="444" t="str">
        <f>'תקבולים מפורט'!F27</f>
        <v xml:space="preserve">החזר בגין דמ"ש ופינוי פסולת קרטון (תמי"ר) (הוצאות בסעיף 7121/750) </v>
      </c>
      <c r="E10" s="413">
        <f>'תקבולים מפורט'!G27</f>
        <v>855</v>
      </c>
      <c r="F10" s="440">
        <f t="shared" si="0"/>
        <v>1.1321249389248389E-3</v>
      </c>
      <c r="G10" s="441">
        <f>E10/סעיפים!$D$11</f>
        <v>8.300970873786408E-4</v>
      </c>
    </row>
    <row r="11" spans="2:7" ht="21" customHeight="1">
      <c r="B11" s="437">
        <f>'תקבולים מפורט'!D33</f>
        <v>220</v>
      </c>
      <c r="C11" s="443">
        <f>'תקבולים מפורט'!E33</f>
        <v>214300</v>
      </c>
      <c r="D11" s="444" t="str">
        <f>'תקבולים מפורט'!F33</f>
        <v>אגרת רשיונות לכלבים</v>
      </c>
      <c r="E11" s="413">
        <f>'תקבולים מפורט'!G33</f>
        <v>600</v>
      </c>
      <c r="F11" s="440">
        <f t="shared" si="0"/>
        <v>7.9447364135076413E-4</v>
      </c>
      <c r="G11" s="441">
        <f>E11/סעיפים!$D$11</f>
        <v>5.8252427184466023E-4</v>
      </c>
    </row>
    <row r="12" spans="2:7" ht="21" customHeight="1">
      <c r="B12" s="437">
        <f>'תקבולים מפורט'!D43</f>
        <v>281</v>
      </c>
      <c r="C12" s="443">
        <f>'תקבולים מפורט'!E43</f>
        <v>230000</v>
      </c>
      <c r="D12" s="444" t="str">
        <f>'תקבולים מפורט'!F43</f>
        <v>קנסות מנהליים - פיקוח על הבניה</v>
      </c>
      <c r="E12" s="413">
        <f>'תקבולים מפורט'!G43</f>
        <v>1000</v>
      </c>
      <c r="F12" s="440">
        <f t="shared" si="0"/>
        <v>1.3241227355846067E-3</v>
      </c>
      <c r="G12" s="441">
        <f>E12/סעיפים!$D$11</f>
        <v>9.7087378640776695E-4</v>
      </c>
    </row>
    <row r="13" spans="2:7" ht="21" customHeight="1">
      <c r="B13" s="437">
        <f>'תקבולים מפורט'!D45</f>
        <v>590</v>
      </c>
      <c r="C13" s="443">
        <f>'תקבולים מפורט'!E45</f>
        <v>230000</v>
      </c>
      <c r="D13" s="444" t="str">
        <f>'תקבולים מפורט'!F45</f>
        <v xml:space="preserve">השתתפות קע"פ בעלויות תכנון ובניין עיר </v>
      </c>
      <c r="E13" s="413">
        <f>'תקבולים מפורט'!G45</f>
        <v>9956</v>
      </c>
      <c r="F13" s="440">
        <f t="shared" si="0"/>
        <v>1.3182965955480345E-2</v>
      </c>
      <c r="G13" s="441">
        <f>E13/סעיפים!$D$11</f>
        <v>9.666019417475729E-3</v>
      </c>
    </row>
    <row r="14" spans="2:7" ht="21" customHeight="1">
      <c r="B14" s="437">
        <f>'תקבולים מפורט'!D46</f>
        <v>591</v>
      </c>
      <c r="C14" s="443">
        <f>'תקבולים מפורט'!E46</f>
        <v>230000</v>
      </c>
      <c r="D14" s="444" t="str">
        <f>'תקבולים מפורט'!F46</f>
        <v xml:space="preserve">השתתפות קע"פ בעלויות שמאים  (במקביל בהוצאות בסעיף 732/951) </v>
      </c>
      <c r="E14" s="413">
        <f>'תקבולים מפורט'!G46</f>
        <v>3500</v>
      </c>
      <c r="F14" s="440">
        <f t="shared" si="0"/>
        <v>4.634429574546124E-3</v>
      </c>
      <c r="G14" s="441">
        <f>E14/סעיפים!$D$11</f>
        <v>3.3980582524271844E-3</v>
      </c>
    </row>
    <row r="15" spans="2:7" ht="21" customHeight="1">
      <c r="B15" s="437">
        <f>'תקבולים מפורט'!D47</f>
        <v>592</v>
      </c>
      <c r="C15" s="443">
        <f>'תקבולים מפורט'!E47</f>
        <v>230000</v>
      </c>
      <c r="D15" s="444" t="str">
        <f>'תקבולים מפורט'!F47</f>
        <v>השתתפות קע"פ בעלויות ייעוץ משפטי חיצוני (במקביל בהוצאות בסעיף 732/750)</v>
      </c>
      <c r="E15" s="413">
        <f>'תקבולים מפורט'!G47</f>
        <v>2000</v>
      </c>
      <c r="F15" s="440">
        <f t="shared" si="0"/>
        <v>2.6482454711692135E-3</v>
      </c>
      <c r="G15" s="441">
        <f>E15/סעיפים!$D$11</f>
        <v>1.9417475728155339E-3</v>
      </c>
    </row>
    <row r="16" spans="2:7" ht="21" customHeight="1">
      <c r="B16" s="437">
        <f>'תקבולים מפורט'!D51</f>
        <v>220</v>
      </c>
      <c r="C16" s="443">
        <f>'תקבולים מפורט'!E51</f>
        <v>233100</v>
      </c>
      <c r="D16" s="444" t="str">
        <f>'תקבולים מפורט'!F51</f>
        <v xml:space="preserve">אגרת רשיונות בנייה </v>
      </c>
      <c r="E16" s="413">
        <f>'תקבולים מפורט'!G51</f>
        <v>10500</v>
      </c>
      <c r="F16" s="440">
        <f t="shared" si="0"/>
        <v>1.3903288723638371E-2</v>
      </c>
      <c r="G16" s="441">
        <f>E16/סעיפים!$D$11</f>
        <v>1.0194174757281554E-2</v>
      </c>
    </row>
    <row r="17" spans="2:7" ht="21" customHeight="1">
      <c r="B17" s="437">
        <f>'תקבולים מפורט'!D73</f>
        <v>280</v>
      </c>
      <c r="C17" s="443">
        <f>'תקבולים מפורט'!E73</f>
        <v>281000</v>
      </c>
      <c r="D17" s="446" t="str">
        <f>'תקבולים מפורט'!F73</f>
        <v xml:space="preserve">קנסות פיקוח </v>
      </c>
      <c r="E17" s="413">
        <f>'תקבולים מפורט'!G73</f>
        <v>1650</v>
      </c>
      <c r="F17" s="440">
        <f t="shared" si="0"/>
        <v>2.1848025137146013E-3</v>
      </c>
      <c r="G17" s="441">
        <f>E17/סעיפים!$D$11</f>
        <v>1.6019417475728155E-3</v>
      </c>
    </row>
    <row r="18" spans="2:7" ht="21" customHeight="1">
      <c r="B18" s="437">
        <f>'תקבולים מפורט'!D76</f>
        <v>280</v>
      </c>
      <c r="C18" s="443">
        <f>'תקבולים מפורט'!E76</f>
        <v>282000</v>
      </c>
      <c r="D18" s="444" t="str">
        <f>'תקבולים מפורט'!F76</f>
        <v>קנסות בתי - משפט</v>
      </c>
      <c r="E18" s="413">
        <f>'תקבולים מפורט'!G76</f>
        <v>600</v>
      </c>
      <c r="F18" s="440">
        <f t="shared" si="0"/>
        <v>7.9447364135076413E-4</v>
      </c>
      <c r="G18" s="441">
        <f>E18/סעיפים!$D$11</f>
        <v>5.8252427184466023E-4</v>
      </c>
    </row>
    <row r="19" spans="2:7" ht="21" customHeight="1">
      <c r="B19" s="437">
        <f>'תקבולים מפורט'!D85</f>
        <v>490</v>
      </c>
      <c r="C19" s="443">
        <f>'תקבולים מפורט'!E85</f>
        <v>311900</v>
      </c>
      <c r="D19" s="444" t="str">
        <f>'תקבולים מפורט'!F85</f>
        <v>השתתפות רשויות אחרות במימון עלויות פנסיה עובדי חינוך</v>
      </c>
      <c r="E19" s="413">
        <f>'תקבולים מפורט'!G85</f>
        <v>700</v>
      </c>
      <c r="F19" s="440">
        <f t="shared" si="0"/>
        <v>9.2688591490922478E-4</v>
      </c>
      <c r="G19" s="441">
        <f>E19/סעיפים!$D$11</f>
        <v>6.7961165048543689E-4</v>
      </c>
    </row>
    <row r="20" spans="2:7" ht="26">
      <c r="B20" s="437">
        <f>'תקבולים מפורט'!D146</f>
        <v>421</v>
      </c>
      <c r="C20" s="443">
        <f>'תקבולים מפורט'!E146</f>
        <v>317210</v>
      </c>
      <c r="D20" s="445" t="str">
        <f>'תקבולים מפורט'!F146</f>
        <v>השתתפות הורים בפרוייקט מחוננים ומצטיינים (במקביל בהוצאות בסעיף 81721/105,81721/782)</v>
      </c>
      <c r="E20" s="413">
        <f>'תקבולים מפורט'!G146</f>
        <v>1014</v>
      </c>
      <c r="F20" s="440">
        <f t="shared" si="0"/>
        <v>1.3426604538827912E-3</v>
      </c>
      <c r="G20" s="441">
        <f>E20/סעיפים!$D$11</f>
        <v>9.8446601941747569E-4</v>
      </c>
    </row>
    <row r="21" spans="2:7" ht="21" customHeight="1">
      <c r="B21" s="437">
        <f>'תקבולים מפורט'!D152</f>
        <v>420</v>
      </c>
      <c r="C21" s="443">
        <f>'תקבולים מפורט'!E152</f>
        <v>317500</v>
      </c>
      <c r="D21" s="444" t="str">
        <f>'תקבולים מפורט'!F152</f>
        <v>דמי ביטוח תלמידים (הוצאות בסעיף 8175/440)</v>
      </c>
      <c r="E21" s="413">
        <f>'תקבולים מפורט'!G152</f>
        <v>836</v>
      </c>
      <c r="F21" s="440">
        <f t="shared" si="0"/>
        <v>1.1069666069487313E-3</v>
      </c>
      <c r="G21" s="441">
        <f>E21/סעיפים!$D$11</f>
        <v>8.1165048543689318E-4</v>
      </c>
    </row>
    <row r="22" spans="2:7" ht="21" customHeight="1">
      <c r="B22" s="437">
        <f>'תקבולים מפורט'!D157</f>
        <v>420</v>
      </c>
      <c r="C22" s="443">
        <f>'תקבולים מפורט'!E157</f>
        <v>317900</v>
      </c>
      <c r="D22" s="444" t="str">
        <f>'תקבולים מפורט'!F157</f>
        <v>הכנסות המרכז להוראה מתקנת (מטר"ה)</v>
      </c>
      <c r="E22" s="413">
        <f>'תקבולים מפורט'!G157</f>
        <v>950</v>
      </c>
      <c r="F22" s="440">
        <f t="shared" si="0"/>
        <v>1.2579165988053764E-3</v>
      </c>
      <c r="G22" s="441">
        <f>E22/סעיפים!$D$11</f>
        <v>9.2233009708737868E-4</v>
      </c>
    </row>
    <row r="23" spans="2:7" ht="21" customHeight="1">
      <c r="B23" s="437">
        <f>'תקבולים מפורט'!D160</f>
        <v>431</v>
      </c>
      <c r="C23" s="443">
        <f>'תקבולים מפורט'!E160</f>
        <v>317910</v>
      </c>
      <c r="D23" s="444" t="str">
        <f>'תקבולים מפורט'!F160</f>
        <v xml:space="preserve">שכר לימוד מתלמידי חוץ - חינוך המיוחד </v>
      </c>
      <c r="E23" s="413">
        <f>'תקבולים מפורט'!G160</f>
        <v>1595</v>
      </c>
      <c r="F23" s="440">
        <f t="shared" si="0"/>
        <v>2.111975763257448E-3</v>
      </c>
      <c r="G23" s="441">
        <f>E23/סעיפים!$D$11</f>
        <v>1.5485436893203884E-3</v>
      </c>
    </row>
    <row r="24" spans="2:7" ht="21" customHeight="1">
      <c r="B24" s="437">
        <f>'תקבולים מפורט'!D161</f>
        <v>420</v>
      </c>
      <c r="C24" s="443">
        <f>'תקבולים מפורט'!E161</f>
        <v>317920</v>
      </c>
      <c r="D24" s="444" t="str">
        <f>'תקבולים מפורט'!F161</f>
        <v>הכנסות בגין ניהול ופיקוח - יול"א גנ"י (במקביל בהוצאות בסעיף 81792/106)</v>
      </c>
      <c r="E24" s="413">
        <f>'תקבולים מפורט'!G161</f>
        <v>585</v>
      </c>
      <c r="F24" s="440">
        <f t="shared" si="0"/>
        <v>7.74611800316995E-4</v>
      </c>
      <c r="G24" s="441">
        <f>E24/סעיפים!$D$11</f>
        <v>5.679611650485437E-4</v>
      </c>
    </row>
    <row r="25" spans="2:7" ht="21" customHeight="1">
      <c r="B25" s="447">
        <f>'תקבולים מפורט'!D198</f>
        <v>420</v>
      </c>
      <c r="C25" s="443">
        <f>'תקבולים מפורט'!E198</f>
        <v>329210</v>
      </c>
      <c r="D25" s="444" t="str">
        <f>'תקבולים מפורט'!F198</f>
        <v xml:space="preserve">הכנסות מאולמות ספורט בתיכונים  </v>
      </c>
      <c r="E25" s="413">
        <f>'תקבולים מפורט'!G198</f>
        <v>500</v>
      </c>
      <c r="F25" s="440">
        <f t="shared" si="0"/>
        <v>6.6206136779230337E-4</v>
      </c>
      <c r="G25" s="441">
        <f>E25/סעיפים!$D$11</f>
        <v>4.8543689320388347E-4</v>
      </c>
    </row>
    <row r="26" spans="2:7" ht="21" customHeight="1">
      <c r="B26" s="447">
        <f>'תקבולים מפורט'!D199</f>
        <v>421</v>
      </c>
      <c r="C26" s="443">
        <f>'תקבולים מפורט'!E199</f>
        <v>329240</v>
      </c>
      <c r="D26" s="444" t="str">
        <f>'תקבולים מפורט'!F199</f>
        <v xml:space="preserve">הכנסות מאולמות ספורט ביסודיים וחט"ב </v>
      </c>
      <c r="E26" s="413">
        <f>'תקבולים מפורט'!G199</f>
        <v>900</v>
      </c>
      <c r="F26" s="440">
        <f t="shared" si="0"/>
        <v>1.1917104620261462E-3</v>
      </c>
      <c r="G26" s="441">
        <f>E26/סעיפים!$D$11</f>
        <v>8.737864077669903E-4</v>
      </c>
    </row>
    <row r="27" spans="2:7" ht="21" customHeight="1">
      <c r="B27" s="437">
        <f>'תקבולים מפורט'!D203</f>
        <v>427</v>
      </c>
      <c r="C27" s="443">
        <f>'תקבולים מפורט'!E203</f>
        <v>329901</v>
      </c>
      <c r="D27" s="444" t="str">
        <f>'תקבולים מפורט'!F203</f>
        <v xml:space="preserve">השתתפות בהוצאות מתקני ספורט - אגודות שונות </v>
      </c>
      <c r="E27" s="413">
        <f>'תקבולים מפורט'!G203</f>
        <v>930</v>
      </c>
      <c r="F27" s="440">
        <f t="shared" si="0"/>
        <v>1.2314341440936843E-3</v>
      </c>
      <c r="G27" s="441">
        <f>E27/סעיפים!$D$11</f>
        <v>9.0291262135922326E-4</v>
      </c>
    </row>
    <row r="28" spans="2:7" ht="21" customHeight="1">
      <c r="B28" s="437">
        <f>'תקבולים מפורט'!D326</f>
        <v>740</v>
      </c>
      <c r="C28" s="443">
        <f>'תקבולים מפורט'!E326</f>
        <v>347102</v>
      </c>
      <c r="D28" s="444" t="str">
        <f>'תקבולים מפורט'!F326</f>
        <v>השתתפות מפעל הפיס בתוכנית הפעלה לנוער</v>
      </c>
      <c r="E28" s="413">
        <f>'תקבולים מפורט'!G326</f>
        <v>540</v>
      </c>
      <c r="F28" s="440">
        <f t="shared" si="0"/>
        <v>7.150262772156877E-4</v>
      </c>
      <c r="G28" s="441">
        <f>E28/סעיפים!$D$11</f>
        <v>5.242718446601942E-4</v>
      </c>
    </row>
    <row r="29" spans="2:7" ht="21" customHeight="1">
      <c r="B29" s="437">
        <f>'תקבולים מפורט'!D381</f>
        <v>420</v>
      </c>
      <c r="C29" s="443">
        <f>'תקבולים מפורט'!E381</f>
        <v>413200</v>
      </c>
      <c r="D29" s="444" t="str">
        <f>'תקבולים מפורט'!F381</f>
        <v>תקבולים מהתאגיד למימון עלויות עובדים "מושאלים"</v>
      </c>
      <c r="E29" s="413">
        <f>'תקבולים מפורט'!G381</f>
        <v>1995</v>
      </c>
      <c r="F29" s="440">
        <f t="shared" si="0"/>
        <v>2.6416248574912906E-3</v>
      </c>
      <c r="G29" s="441">
        <f>E29/סעיפים!$D$11</f>
        <v>1.9368932038834952E-3</v>
      </c>
    </row>
    <row r="30" spans="2:7" ht="21" customHeight="1">
      <c r="B30" s="437">
        <f>'תקבולים מפורט'!D385</f>
        <v>670</v>
      </c>
      <c r="C30" s="443">
        <f>'תקבולים מפורט'!E385</f>
        <v>430000</v>
      </c>
      <c r="D30" s="444" t="str">
        <f>'תקבולים מפורט'!F385</f>
        <v xml:space="preserve">הכנסות מזכיונות ושכירויות של נכסי העירייה </v>
      </c>
      <c r="E30" s="413">
        <f>'תקבולים מפורט'!G385</f>
        <v>6650</v>
      </c>
      <c r="F30" s="440">
        <f t="shared" si="0"/>
        <v>8.8054161916376345E-3</v>
      </c>
      <c r="G30" s="441">
        <f>E30/סעיפים!$D$11</f>
        <v>6.4563106796116506E-3</v>
      </c>
    </row>
    <row r="31" spans="2:7" ht="21" customHeight="1">
      <c r="B31" s="437">
        <f>'תקבולים מפורט'!D386</f>
        <v>671</v>
      </c>
      <c r="C31" s="443">
        <f>'תקבולים מפורט'!E386</f>
        <v>430000</v>
      </c>
      <c r="D31" s="444" t="str">
        <f>'תקבולים מפורט'!F386</f>
        <v xml:space="preserve">הכנסות ממערך השילוט </v>
      </c>
      <c r="E31" s="413">
        <f>'תקבולים מפורט'!G386</f>
        <v>1200</v>
      </c>
      <c r="F31" s="440">
        <f t="shared" si="0"/>
        <v>1.5889472827015283E-3</v>
      </c>
      <c r="G31" s="441">
        <f>E31/סעיפים!$D$11</f>
        <v>1.1650485436893205E-3</v>
      </c>
    </row>
    <row r="32" spans="2:7" ht="21" customHeight="1">
      <c r="B32" s="437">
        <f>'תקבולים מפורט'!D390</f>
        <v>280</v>
      </c>
      <c r="C32" s="443">
        <f>'תקבולים מפורט'!E390</f>
        <v>443000</v>
      </c>
      <c r="D32" s="444" t="str">
        <f>'תקבולים מפורט'!F390</f>
        <v>קנסות חנייה</v>
      </c>
      <c r="E32" s="413">
        <f>'תקבולים מפורט'!G390</f>
        <v>8500</v>
      </c>
      <c r="F32" s="440">
        <f t="shared" si="0"/>
        <v>1.1255043252469158E-2</v>
      </c>
      <c r="G32" s="441">
        <f>E32/סעיפים!$D$11</f>
        <v>8.2524271844660203E-3</v>
      </c>
    </row>
    <row r="33" spans="2:9" ht="21" customHeight="1">
      <c r="B33" s="437">
        <f>'תקבולים מפורט'!D391</f>
        <v>220</v>
      </c>
      <c r="C33" s="443">
        <f>'תקבולים מפורט'!E391</f>
        <v>443100</v>
      </c>
      <c r="D33" s="444" t="str">
        <f>'תקבולים מפורט'!F391</f>
        <v>הכנסות מחניונים עירוניים - מהחב' הכלכלית</v>
      </c>
      <c r="E33" s="413">
        <f>'תקבולים מפורט'!G391</f>
        <v>7160</v>
      </c>
      <c r="F33" s="440">
        <f t="shared" si="0"/>
        <v>9.4807187867857849E-3</v>
      </c>
      <c r="G33" s="441">
        <f>E33/סעיפים!$D$11</f>
        <v>6.9514563106796113E-3</v>
      </c>
    </row>
    <row r="34" spans="2:9" ht="21" customHeight="1">
      <c r="B34" s="437">
        <f>'תקבולים מפורט'!D392</f>
        <v>220</v>
      </c>
      <c r="C34" s="443">
        <f>'תקבולים מפורט'!E392</f>
        <v>443200</v>
      </c>
      <c r="D34" s="444" t="str">
        <f>'תקבולים מפורט'!F392</f>
        <v xml:space="preserve">אגרות חנייה </v>
      </c>
      <c r="E34" s="413">
        <f>'תקבולים מפורט'!G392</f>
        <v>17300</v>
      </c>
      <c r="F34" s="440">
        <f t="shared" si="0"/>
        <v>2.2907323325613699E-2</v>
      </c>
      <c r="G34" s="441">
        <f>E34/סעיפים!$D$11</f>
        <v>1.679611650485437E-2</v>
      </c>
    </row>
    <row r="35" spans="2:9" ht="21" customHeight="1">
      <c r="B35" s="437">
        <f>'תקבולים מפורט'!D397</f>
        <v>420</v>
      </c>
      <c r="C35" s="443">
        <f>'תקבולים מפורט'!E397</f>
        <v>473000</v>
      </c>
      <c r="D35" s="444" t="str">
        <f>'תקבולים מפורט'!F397</f>
        <v>תקבולים מהתאגיד למימון עלויות עובדים "מושאלים" (מכון הטיהור)</v>
      </c>
      <c r="E35" s="413">
        <f>'תקבולים מפורט'!G397</f>
        <v>1356</v>
      </c>
      <c r="F35" s="440">
        <f t="shared" si="0"/>
        <v>1.7955104294527268E-3</v>
      </c>
      <c r="G35" s="441">
        <f>E35/סעיפים!$D$11</f>
        <v>1.316504854368932E-3</v>
      </c>
    </row>
    <row r="36" spans="2:9" ht="21" customHeight="1">
      <c r="B36" s="437">
        <f>'תקבולים מפורט'!D401</f>
        <v>660</v>
      </c>
      <c r="C36" s="443">
        <f>'תקבולים מפורט'!E401</f>
        <v>511000</v>
      </c>
      <c r="D36" s="444" t="str">
        <f>'תקבולים מפורט'!F401</f>
        <v>הכנסות מימון</v>
      </c>
      <c r="E36" s="413">
        <f>'תקבולים מפורט'!G401</f>
        <v>3000</v>
      </c>
      <c r="F36" s="440">
        <f t="shared" si="0"/>
        <v>3.9723682067538202E-3</v>
      </c>
      <c r="G36" s="441">
        <f>E36/סעיפים!$D$11</f>
        <v>2.9126213592233011E-3</v>
      </c>
    </row>
    <row r="37" spans="2:9" ht="21" customHeight="1">
      <c r="B37" s="447">
        <f>'תקבולים מפורט'!D403</f>
        <v>662</v>
      </c>
      <c r="C37" s="443">
        <f>'תקבולים מפורט'!E403</f>
        <v>511000</v>
      </c>
      <c r="D37" s="444" t="str">
        <f>'תקבולים מפורט'!F403</f>
        <v>הכנסות מדיבידנד מחברת מי הרצליה בע"מ</v>
      </c>
      <c r="E37" s="413">
        <f>'תקבולים מפורט'!G403</f>
        <v>3550</v>
      </c>
      <c r="F37" s="440">
        <f t="shared" si="0"/>
        <v>4.7006357113253544E-3</v>
      </c>
      <c r="G37" s="441">
        <f>E37/סעיפים!$D$11</f>
        <v>3.4466019417475728E-3</v>
      </c>
    </row>
    <row r="38" spans="2:9" ht="21" customHeight="1">
      <c r="B38" s="447">
        <f>'תקבולים מפורט'!D404</f>
        <v>510</v>
      </c>
      <c r="C38" s="443">
        <f>'תקבולים מפורט'!E404</f>
        <v>513000</v>
      </c>
      <c r="D38" s="444" t="str">
        <f>'תקבולים מפורט'!F404</f>
        <v xml:space="preserve">הכנסות והחזר הוצאות משנים קודמות </v>
      </c>
      <c r="E38" s="413">
        <f>'תקבולים מפורט'!G404</f>
        <v>3731</v>
      </c>
      <c r="F38" s="440">
        <f t="shared" si="0"/>
        <v>4.9403019264661679E-3</v>
      </c>
      <c r="G38" s="441">
        <f>E38/סעיפים!$D$11</f>
        <v>3.6223300970873785E-3</v>
      </c>
    </row>
    <row r="39" spans="2:9" ht="21" customHeight="1">
      <c r="B39" s="447">
        <f>'תקבולים מפורט'!D406</f>
        <v>591</v>
      </c>
      <c r="C39" s="443">
        <f>'תקבולים מפורט'!E406</f>
        <v>591100</v>
      </c>
      <c r="D39" s="444" t="str">
        <f>'תקבולים מפורט'!F406</f>
        <v>מימון פרע"מ פיתוח מהיטלי השבחה</v>
      </c>
      <c r="E39" s="413">
        <f>'תקבולים מפורט'!G406</f>
        <v>5500</v>
      </c>
      <c r="F39" s="440">
        <f t="shared" si="0"/>
        <v>7.2826750457153375E-3</v>
      </c>
      <c r="G39" s="441">
        <f>E39/סעיפים!$D$11</f>
        <v>5.3398058252427183E-3</v>
      </c>
    </row>
    <row r="40" spans="2:9" ht="21" customHeight="1">
      <c r="B40" s="447">
        <f>'תקבולים מפורט'!D407</f>
        <v>593</v>
      </c>
      <c r="C40" s="443">
        <f>'תקבולים מפורט'!E407</f>
        <v>591100</v>
      </c>
      <c r="D40" s="444" t="str">
        <f>'תקבולים מפורט'!F407</f>
        <v>מימון פרע"מ כבישים מהיטלי סלילת כבישים ומדרכות</v>
      </c>
      <c r="E40" s="413">
        <f>'תקבולים מפורט'!G407</f>
        <v>550</v>
      </c>
      <c r="F40" s="440">
        <f t="shared" si="0"/>
        <v>7.2826750457153375E-4</v>
      </c>
      <c r="G40" s="441">
        <f>E40/סעיפים!$D$11</f>
        <v>5.3398058252427185E-4</v>
      </c>
    </row>
    <row r="41" spans="2:9" ht="21" customHeight="1">
      <c r="B41" s="447">
        <f>'תקבולים מפורט'!D408</f>
        <v>594</v>
      </c>
      <c r="C41" s="443">
        <f>'תקבולים מפורט'!E408</f>
        <v>591100</v>
      </c>
      <c r="D41" s="444" t="str">
        <f>'תקבולים מפורט'!F408</f>
        <v xml:space="preserve">מימון פרע"מ ניקוז מהיטלי תיעול (ניקוז) ומהיטלי השבחה </v>
      </c>
      <c r="E41" s="413">
        <f>'תקבולים מפורט'!G408</f>
        <v>2000</v>
      </c>
      <c r="F41" s="440">
        <f t="shared" si="0"/>
        <v>2.6482454711692135E-3</v>
      </c>
      <c r="G41" s="441">
        <f>E41/סעיפים!$D$11</f>
        <v>1.9417475728155339E-3</v>
      </c>
    </row>
    <row r="42" spans="2:9" ht="21" customHeight="1">
      <c r="B42" s="447">
        <f>'תקבולים מפורט'!D409</f>
        <v>420</v>
      </c>
      <c r="C42" s="443">
        <f>'תקבולים מפורט'!E409</f>
        <v>594000</v>
      </c>
      <c r="D42" s="444" t="str">
        <f>'תקבולים מפורט'!F409</f>
        <v>השתתפות קרן דמ"נ</v>
      </c>
      <c r="E42" s="413">
        <f>'תקבולים מפורט'!G409</f>
        <v>710</v>
      </c>
      <c r="F42" s="440">
        <f t="shared" si="0"/>
        <v>9.4012714226507084E-4</v>
      </c>
      <c r="G42" s="441">
        <f>E42/סעיפים!$D$11</f>
        <v>6.8932038834951454E-4</v>
      </c>
    </row>
    <row r="43" spans="2:9" ht="21" customHeight="1">
      <c r="B43" s="447">
        <f>'תקבולים מפורט'!D412</f>
        <v>510</v>
      </c>
      <c r="C43" s="443">
        <f>'תקבולים מפורט'!E412</f>
        <v>599200</v>
      </c>
      <c r="D43" s="444" t="str">
        <f>'תקבולים מפורט'!F412</f>
        <v>העברה מהעודף הנצבר לתקציב הרגיל</v>
      </c>
      <c r="E43" s="413">
        <f>'תקבולים מפורט'!G412</f>
        <v>7600</v>
      </c>
      <c r="F43" s="440">
        <f t="shared" si="0"/>
        <v>1.0063332790443011E-2</v>
      </c>
      <c r="G43" s="441">
        <f>E43/סעיפים!$D$11</f>
        <v>7.3786407766990294E-3</v>
      </c>
    </row>
    <row r="44" spans="2:9" ht="21" customHeight="1">
      <c r="B44" s="448"/>
      <c r="C44" s="449"/>
      <c r="D44" s="450" t="s">
        <v>1056</v>
      </c>
      <c r="E44" s="451">
        <v>8954</v>
      </c>
      <c r="F44" s="452">
        <f t="shared" si="0"/>
        <v>1.1856194974424569E-2</v>
      </c>
      <c r="G44" s="453">
        <f>E44/סעיפים!$D$11</f>
        <v>8.6932038834951451E-3</v>
      </c>
    </row>
    <row r="45" spans="2:9" ht="21" customHeight="1" thickBot="1">
      <c r="B45" s="454"/>
      <c r="C45" s="455"/>
      <c r="D45" s="455" t="s">
        <v>786</v>
      </c>
      <c r="E45" s="456">
        <f>SUM(E6:E44)</f>
        <v>755217</v>
      </c>
      <c r="F45" s="457">
        <f>SUM(F6:F44)</f>
        <v>1</v>
      </c>
      <c r="G45" s="314">
        <f>SUM(G6:G44)</f>
        <v>0.73322038834951486</v>
      </c>
      <c r="I45" s="490"/>
    </row>
    <row r="46" spans="2:9" ht="22.5" customHeight="1">
      <c r="B46" s="318"/>
    </row>
    <row r="48" spans="2:9" s="412" customFormat="1" ht="13">
      <c r="D48" s="586"/>
      <c r="E48" s="578"/>
    </row>
    <row r="49" spans="5:5" s="412" customFormat="1" ht="13">
      <c r="E49" s="578"/>
    </row>
    <row r="79" spans="8:8">
      <c r="H79" s="216">
        <v>5.01</v>
      </c>
    </row>
    <row r="113" spans="8:8">
      <c r="H113" s="216">
        <v>5</v>
      </c>
    </row>
    <row r="198" spans="6:6">
      <c r="F198" s="216" t="s">
        <v>365</v>
      </c>
    </row>
    <row r="230" spans="8:8">
      <c r="H230" s="216">
        <v>7</v>
      </c>
    </row>
    <row r="263" spans="8:8">
      <c r="H263" s="216">
        <v>7</v>
      </c>
    </row>
    <row r="279" spans="8:8">
      <c r="H279" s="216">
        <v>3.7</v>
      </c>
    </row>
    <row r="288" spans="8:8">
      <c r="H288" s="216">
        <v>0.88</v>
      </c>
    </row>
    <row r="310" spans="8:8">
      <c r="H310" s="216">
        <v>2.75</v>
      </c>
    </row>
    <row r="330" spans="8:8">
      <c r="H330" s="216">
        <v>7.5</v>
      </c>
    </row>
    <row r="346" spans="8:8">
      <c r="H346" s="216">
        <v>3.28</v>
      </c>
    </row>
    <row r="353" spans="8:8">
      <c r="H353" s="216">
        <v>9</v>
      </c>
    </row>
    <row r="361" spans="8:8">
      <c r="H361" s="216">
        <v>3</v>
      </c>
    </row>
    <row r="375" spans="8:8">
      <c r="H375" s="216">
        <v>4</v>
      </c>
    </row>
    <row r="398" spans="8:8">
      <c r="H398" s="216">
        <v>1</v>
      </c>
    </row>
    <row r="422" spans="8:8">
      <c r="H422" s="216">
        <v>2</v>
      </c>
    </row>
    <row r="423" spans="8:8">
      <c r="H423" s="216">
        <v>2</v>
      </c>
    </row>
    <row r="463" spans="8:8">
      <c r="H463" s="216">
        <v>0</v>
      </c>
    </row>
    <row r="479" spans="8:8">
      <c r="H479" s="216">
        <v>0.5</v>
      </c>
    </row>
    <row r="487" spans="8:8">
      <c r="H487" s="216">
        <v>0</v>
      </c>
    </row>
    <row r="509" spans="8:8">
      <c r="H509" s="216">
        <v>2</v>
      </c>
    </row>
    <row r="522" spans="8:8">
      <c r="H522" s="216">
        <v>2</v>
      </c>
    </row>
    <row r="531" spans="8:8">
      <c r="H531" s="216">
        <v>1</v>
      </c>
    </row>
    <row r="559" spans="8:8">
      <c r="H559" s="216">
        <v>2</v>
      </c>
    </row>
    <row r="571" spans="8:8">
      <c r="H571" s="216">
        <v>5</v>
      </c>
    </row>
    <row r="601" spans="8:8">
      <c r="H601" s="216">
        <v>0</v>
      </c>
    </row>
    <row r="606" spans="8:8">
      <c r="H606" s="216">
        <v>11.25</v>
      </c>
    </row>
    <row r="622" spans="8:8">
      <c r="H622" s="216">
        <v>16.989999999999998</v>
      </c>
    </row>
    <row r="638" spans="8:8">
      <c r="H638" s="216">
        <v>1</v>
      </c>
    </row>
    <row r="644" spans="8:8">
      <c r="H644" s="216">
        <v>0</v>
      </c>
    </row>
    <row r="648" spans="8:8">
      <c r="H648" s="216">
        <v>2</v>
      </c>
    </row>
    <row r="649" spans="8:8">
      <c r="H649" s="216">
        <v>3</v>
      </c>
    </row>
    <row r="652" spans="8:8">
      <c r="H652" s="216">
        <v>0.68</v>
      </c>
    </row>
    <row r="668" spans="8:8">
      <c r="H668" s="216">
        <v>2</v>
      </c>
    </row>
    <row r="708" spans="8:8">
      <c r="H708" s="216">
        <v>4</v>
      </c>
    </row>
    <row r="759" spans="8:8">
      <c r="H759" s="216">
        <v>2</v>
      </c>
    </row>
    <row r="788" spans="8:8">
      <c r="H788" s="216">
        <v>2.61</v>
      </c>
    </row>
    <row r="790" spans="8:8">
      <c r="H790" s="216">
        <v>0</v>
      </c>
    </row>
    <row r="791" spans="8:8">
      <c r="H791" s="216">
        <v>0</v>
      </c>
    </row>
    <row r="792" spans="8:8">
      <c r="H792" s="216">
        <v>0</v>
      </c>
    </row>
    <row r="793" spans="8:8">
      <c r="H793" s="216">
        <v>0</v>
      </c>
    </row>
    <row r="813" spans="8:8">
      <c r="H813" s="216">
        <v>2.75</v>
      </c>
    </row>
    <row r="823" spans="8:8">
      <c r="H823" s="216">
        <v>1</v>
      </c>
    </row>
    <row r="853" spans="8:8">
      <c r="H853" s="216">
        <v>0.5</v>
      </c>
    </row>
    <row r="875" spans="8:8">
      <c r="H875" s="216">
        <v>5.35</v>
      </c>
    </row>
    <row r="895" spans="8:8">
      <c r="H895" s="216">
        <v>2</v>
      </c>
    </row>
    <row r="904" spans="8:8">
      <c r="H904" s="216">
        <v>2.5</v>
      </c>
    </row>
    <row r="925" spans="8:8">
      <c r="H925" s="216">
        <v>17.46</v>
      </c>
    </row>
    <row r="945" spans="8:8">
      <c r="H945" s="216">
        <v>0.5</v>
      </c>
    </row>
    <row r="948" spans="8:8">
      <c r="H948" s="216">
        <v>0.8</v>
      </c>
    </row>
    <row r="955" spans="8:8">
      <c r="H955" s="216">
        <v>0.8</v>
      </c>
    </row>
    <row r="963" spans="8:8">
      <c r="H963" s="216">
        <v>1</v>
      </c>
    </row>
    <row r="970" spans="8:8">
      <c r="H970" s="216">
        <v>1.2</v>
      </c>
    </row>
    <row r="971" spans="8:8">
      <c r="H971" s="216">
        <v>0.5</v>
      </c>
    </row>
    <row r="972" spans="8:8">
      <c r="H972" s="216">
        <v>1</v>
      </c>
    </row>
    <row r="977" spans="8:8">
      <c r="H977" s="216">
        <v>0.67</v>
      </c>
    </row>
    <row r="978" spans="8:8">
      <c r="H978" s="216">
        <v>1.5</v>
      </c>
    </row>
    <row r="1002" spans="8:8">
      <c r="H1002" s="216">
        <v>0</v>
      </c>
    </row>
    <row r="1012" spans="8:8">
      <c r="H1012" s="216">
        <v>1.03</v>
      </c>
    </row>
    <row r="1068" spans="8:8">
      <c r="H1068" s="216">
        <v>1.5</v>
      </c>
    </row>
    <row r="1088" spans="8:8">
      <c r="H1088" s="216">
        <v>3</v>
      </c>
    </row>
    <row r="1101" spans="8:8">
      <c r="H1101" s="216">
        <v>0</v>
      </c>
    </row>
    <row r="1105" spans="8:8">
      <c r="H1105" s="216">
        <v>1.5</v>
      </c>
    </row>
    <row r="1130" spans="8:8">
      <c r="H1130" s="216">
        <v>2</v>
      </c>
    </row>
    <row r="1143" spans="8:8">
      <c r="H1143" s="216">
        <v>6.25</v>
      </c>
    </row>
    <row r="1153" spans="8:8">
      <c r="H1153" s="216">
        <v>1</v>
      </c>
    </row>
    <row r="1159" spans="8:8">
      <c r="H1159" s="216">
        <v>0.33</v>
      </c>
    </row>
    <row r="1181" spans="8:8">
      <c r="H1181" s="216">
        <v>1</v>
      </c>
    </row>
    <row r="1192" spans="8:8">
      <c r="H1192" s="216">
        <v>2</v>
      </c>
    </row>
    <row r="1195" spans="8:8">
      <c r="H1195" s="216">
        <v>1</v>
      </c>
    </row>
    <row r="1205" spans="8:8">
      <c r="H1205" s="216">
        <v>0</v>
      </c>
    </row>
    <row r="1217" spans="8:8">
      <c r="H1217" s="216">
        <v>2</v>
      </c>
    </row>
    <row r="1260" spans="8:8">
      <c r="H1260" s="216">
        <v>0</v>
      </c>
    </row>
    <row r="1315" spans="8:8">
      <c r="H1315" s="216">
        <v>0.44</v>
      </c>
    </row>
    <row r="1332" spans="8:8">
      <c r="H1332" s="216">
        <v>0.85</v>
      </c>
    </row>
    <row r="1360" spans="8:8">
      <c r="H1360" s="216">
        <v>0.74</v>
      </c>
    </row>
    <row r="1435" spans="8:8">
      <c r="H1435" s="216">
        <v>10</v>
      </c>
    </row>
    <row r="1440" spans="8:8">
      <c r="H1440" s="216">
        <v>4</v>
      </c>
    </row>
    <row r="1470" spans="8:8">
      <c r="H1470" s="216">
        <v>1.35</v>
      </c>
    </row>
    <row r="1525" spans="8:8">
      <c r="H1525" s="216">
        <v>1</v>
      </c>
    </row>
    <row r="1542" spans="8:8">
      <c r="H1542" s="216">
        <v>0</v>
      </c>
    </row>
    <row r="1558" spans="8:8">
      <c r="H1558" s="216">
        <v>0</v>
      </c>
    </row>
    <row r="1651" spans="10:10">
      <c r="J1651" s="216">
        <v>50</v>
      </c>
    </row>
    <row r="1818" spans="10:10">
      <c r="J1818" s="216">
        <f>29950-720-450-50</f>
        <v>28730</v>
      </c>
    </row>
  </sheetData>
  <mergeCells count="4">
    <mergeCell ref="B3:B5"/>
    <mergeCell ref="C3:C5"/>
    <mergeCell ref="D3:D5"/>
    <mergeCell ref="F3:G3"/>
  </mergeCells>
  <phoneticPr fontId="12" type="noConversion"/>
  <conditionalFormatting sqref="E49">
    <cfRule type="cellIs" dxfId="22" priority="1" stopIfTrue="1" operator="notEqual">
      <formula>0</formula>
    </cfRule>
    <cfRule type="cellIs" dxfId="21" priority="2" stopIfTrue="1" operator="equal">
      <formula>0</formula>
    </cfRule>
  </conditionalFormatting>
  <pageMargins left="0.74803149606299213" right="0.6692913385826772" top="1.1023622047244095" bottom="0.55118110236220474" header="0.43307086614173229" footer="0.27559055118110237"/>
  <pageSetup paperSize="9" scale="95"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 manualBreakCount="1">
    <brk id="24"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J1818"/>
  <sheetViews>
    <sheetView showGridLines="0" rightToLeft="1" view="pageBreakPreview" topLeftCell="A16" zoomScale="90" zoomScaleNormal="100" zoomScaleSheetLayoutView="90" workbookViewId="0">
      <selection activeCell="C34" sqref="C34"/>
    </sheetView>
  </sheetViews>
  <sheetFormatPr defaultColWidth="9" defaultRowHeight="14"/>
  <cols>
    <col min="1" max="1" width="12" style="1" customWidth="1"/>
    <col min="2" max="2" width="4.5" style="1" customWidth="1"/>
    <col min="3" max="3" width="6.58203125" style="1" customWidth="1"/>
    <col min="4" max="4" width="49.5" style="1" customWidth="1"/>
    <col min="5" max="5" width="9" style="1"/>
    <col min="6" max="6" width="10.58203125" style="1" customWidth="1"/>
    <col min="7" max="7" width="9" style="1"/>
    <col min="8" max="8" width="9.58203125" style="1" bestFit="1" customWidth="1"/>
    <col min="9" max="16384" width="9" style="1"/>
  </cols>
  <sheetData>
    <row r="1" spans="2:8" ht="20.5">
      <c r="B1" s="53" t="str">
        <f>סעיפים!B1</f>
        <v>הצעת התקציב הרגיל לשנת 2021</v>
      </c>
      <c r="C1" s="53"/>
      <c r="D1" s="53"/>
      <c r="E1" s="53"/>
      <c r="F1" s="53"/>
      <c r="G1" s="53"/>
    </row>
    <row r="2" spans="2:8" ht="18">
      <c r="B2" s="40" t="s">
        <v>1328</v>
      </c>
      <c r="C2" s="2"/>
      <c r="D2" s="2"/>
      <c r="E2" s="2"/>
      <c r="F2" s="2"/>
      <c r="G2" s="2"/>
    </row>
    <row r="3" spans="2:8" ht="19.5" customHeight="1" thickBot="1"/>
    <row r="4" spans="2:8">
      <c r="B4" s="1135" t="s">
        <v>649</v>
      </c>
      <c r="C4" s="1138" t="s">
        <v>650</v>
      </c>
      <c r="D4" s="1118" t="s">
        <v>1399</v>
      </c>
      <c r="E4" s="162" t="str">
        <f>[3]סעיפים!D4</f>
        <v>תקציב</v>
      </c>
      <c r="F4" s="1120" t="s">
        <v>999</v>
      </c>
      <c r="G4" s="1123"/>
    </row>
    <row r="5" spans="2:8">
      <c r="B5" s="1136"/>
      <c r="C5" s="1139"/>
      <c r="D5" s="1141"/>
      <c r="E5" s="163">
        <v>2021</v>
      </c>
      <c r="F5" s="164" t="s">
        <v>1854</v>
      </c>
      <c r="G5" s="165" t="s">
        <v>648</v>
      </c>
    </row>
    <row r="6" spans="2:8">
      <c r="B6" s="1137"/>
      <c r="C6" s="1140"/>
      <c r="D6" s="1119"/>
      <c r="E6" s="161" t="s">
        <v>295</v>
      </c>
      <c r="F6" s="166" t="s">
        <v>1855</v>
      </c>
      <c r="G6" s="167" t="s">
        <v>264</v>
      </c>
    </row>
    <row r="7" spans="2:8" s="481" customFormat="1" ht="30" customHeight="1">
      <c r="B7" s="475">
        <f>'תקבולים מפורט'!D50</f>
        <v>980</v>
      </c>
      <c r="C7" s="476">
        <f>'תקבולים מפורט'!E50</f>
        <v>232200</v>
      </c>
      <c r="D7" s="477" t="str">
        <f>'תקבולים מפורט'!F50</f>
        <v>השתתפות הרשות הממשלתית להתחדשות עירונית</v>
      </c>
      <c r="E7" s="478">
        <f>'תקבולים מפורט'!G50</f>
        <v>616</v>
      </c>
      <c r="F7" s="479">
        <f t="shared" ref="F7:F18" si="0">E7/$E$19</f>
        <v>0.10091743119266056</v>
      </c>
      <c r="G7" s="480">
        <f>E7/סעיפים!$D$11</f>
        <v>5.9805825242718446E-4</v>
      </c>
    </row>
    <row r="8" spans="2:8" s="481" customFormat="1" ht="30" customHeight="1">
      <c r="B8" s="475">
        <f>'תקבולים מפורט'!D143</f>
        <v>998</v>
      </c>
      <c r="C8" s="476">
        <f>'תקבולים מפורט'!E143</f>
        <v>317100</v>
      </c>
      <c r="D8" s="477" t="str">
        <f>'תקבולים מפורט'!F143</f>
        <v>השתתפות המשרד לבטחון פנים לאבטחת מוסדות חינוך</v>
      </c>
      <c r="E8" s="478">
        <f>'תקבולים מפורט'!G143</f>
        <v>3200</v>
      </c>
      <c r="F8" s="479">
        <f t="shared" si="0"/>
        <v>0.52424639580602883</v>
      </c>
      <c r="G8" s="480">
        <f>E8/סעיפים!$D$11</f>
        <v>3.1067961165048546E-3</v>
      </c>
      <c r="H8" s="482"/>
    </row>
    <row r="9" spans="2:8" s="481" customFormat="1" ht="30" customHeight="1">
      <c r="B9" s="475">
        <f>'תקבולים מפורט'!D148</f>
        <v>995</v>
      </c>
      <c r="C9" s="476">
        <f>'תקבולים מפורט'!E148</f>
        <v>317210</v>
      </c>
      <c r="D9" s="544" t="str">
        <f>'תקבולים מפורט'!F148</f>
        <v>מימון משרד המדע פרויקט לוויינים (במקביל בהוצאות בסעיפים 81721/101,81721/783)</v>
      </c>
      <c r="E9" s="478">
        <f>'תקבולים מפורט'!G148</f>
        <v>479</v>
      </c>
      <c r="F9" s="479">
        <f t="shared" si="0"/>
        <v>7.847313237221494E-2</v>
      </c>
      <c r="G9" s="480">
        <f>E9/סעיפים!$D$11</f>
        <v>4.6504854368932037E-4</v>
      </c>
      <c r="H9" s="482"/>
    </row>
    <row r="10" spans="2:8" s="481" customFormat="1" ht="30" customHeight="1">
      <c r="B10" s="475">
        <f>'תקבולים מפורט'!D164</f>
        <v>991</v>
      </c>
      <c r="C10" s="476">
        <f>'תקבולים מפורט'!E164</f>
        <v>317950</v>
      </c>
      <c r="D10" s="544" t="str">
        <f>'תקבולים מפורט'!F164</f>
        <v>השתתפות משרד התחבורה לפעולות בטיחות במערך החינוך (הוצאות בסעיף 817950/781)</v>
      </c>
      <c r="E10" s="478">
        <f>'תקבולים מפורט'!G164</f>
        <v>80</v>
      </c>
      <c r="F10" s="479">
        <f t="shared" si="0"/>
        <v>1.310615989515072E-2</v>
      </c>
      <c r="G10" s="480">
        <f>E10/סעיפים!$D$11</f>
        <v>7.7669902912621356E-5</v>
      </c>
    </row>
    <row r="11" spans="2:8" s="481" customFormat="1" ht="30" customHeight="1">
      <c r="B11" s="475">
        <f>'תקבולים מפורט'!D189</f>
        <v>998</v>
      </c>
      <c r="C11" s="476">
        <f>'תקבולים מפורט'!E189</f>
        <v>328100</v>
      </c>
      <c r="D11" s="477" t="str">
        <f>'תקבולים מפורט'!F189</f>
        <v>השתתפות המשרד לבטחון פנים בפרוייקט "מצילה"</v>
      </c>
      <c r="E11" s="478">
        <f>'תקבולים מפורט'!G189</f>
        <v>455</v>
      </c>
      <c r="F11" s="479">
        <f t="shared" si="0"/>
        <v>7.4541284403669722E-2</v>
      </c>
      <c r="G11" s="480">
        <f>E11/סעיפים!$D$11</f>
        <v>4.4174757281553398E-4</v>
      </c>
    </row>
    <row r="12" spans="2:8" s="481" customFormat="1" ht="30" customHeight="1">
      <c r="B12" s="475">
        <f>'תקבולים מפורט'!D192</f>
        <v>992</v>
      </c>
      <c r="C12" s="476">
        <f>'תקבולים מפורט'!E192</f>
        <v>329000</v>
      </c>
      <c r="D12" s="477" t="str">
        <f>'תקבולים מפורט'!F192</f>
        <v xml:space="preserve">השתתפות משרד התרבות והספורט לסל הספורט </v>
      </c>
      <c r="E12" s="478">
        <f>'תקבולים מפורט'!G192</f>
        <v>300</v>
      </c>
      <c r="F12" s="479">
        <f t="shared" si="0"/>
        <v>4.9148099606815203E-2</v>
      </c>
      <c r="G12" s="480">
        <f>E12/סעיפים!$D$11</f>
        <v>2.9126213592233012E-4</v>
      </c>
    </row>
    <row r="13" spans="2:8" s="481" customFormat="1" ht="30" customHeight="1">
      <c r="B13" s="475">
        <f>'תקבולים מפורט'!D195</f>
        <v>992</v>
      </c>
      <c r="C13" s="476">
        <f>'תקבולים מפורט'!E195</f>
        <v>329100</v>
      </c>
      <c r="D13" s="477" t="str">
        <f>'תקבולים מפורט'!F195</f>
        <v>השתתפות משרד התרבות והספורט בארגון טריאתלון נשים בינלאומי</v>
      </c>
      <c r="E13" s="478">
        <f>'תקבולים מפורט'!G195</f>
        <v>100</v>
      </c>
      <c r="F13" s="479">
        <f t="shared" si="0"/>
        <v>1.6382699868938401E-2</v>
      </c>
      <c r="G13" s="480">
        <f>E13/סעיפים!$D$11</f>
        <v>9.7087378640776706E-5</v>
      </c>
    </row>
    <row r="14" spans="2:8" s="481" customFormat="1" ht="30" customHeight="1">
      <c r="B14" s="475">
        <f>'תקבולים מפורט'!D208</f>
        <v>940</v>
      </c>
      <c r="C14" s="476">
        <f>'תקבולים מפורט'!E208</f>
        <v>331000</v>
      </c>
      <c r="D14" s="477" t="str">
        <f>'תקבולים מפורט'!F208</f>
        <v>השתתפות משרד הבריאות בפרוייקט "אפשרי בריא"</v>
      </c>
      <c r="E14" s="478">
        <f>'תקבולים מפורט'!G208</f>
        <v>120</v>
      </c>
      <c r="F14" s="479">
        <f t="shared" si="0"/>
        <v>1.9659239842726082E-2</v>
      </c>
      <c r="G14" s="480">
        <f>E14/סעיפים!$D$11</f>
        <v>1.1650485436893204E-4</v>
      </c>
    </row>
    <row r="15" spans="2:8" s="481" customFormat="1" ht="30" customHeight="1">
      <c r="B15" s="475">
        <f>'תקבולים מפורט'!D368</f>
        <v>950</v>
      </c>
      <c r="C15" s="476">
        <f>'תקבולים מפורט'!E368</f>
        <v>369000</v>
      </c>
      <c r="D15" s="477" t="str">
        <f>'תקבולים מפורט'!F368</f>
        <v>השתתפות משרד הקליטה לפרוייקטים מיוחדים וכ"א</v>
      </c>
      <c r="E15" s="478">
        <f>'תקבולים מפורט'!G368</f>
        <v>131</v>
      </c>
      <c r="F15" s="479">
        <f t="shared" si="0"/>
        <v>2.1461336828309304E-2</v>
      </c>
      <c r="G15" s="480">
        <f>E15/סעיפים!$D$11</f>
        <v>1.2718446601941747E-4</v>
      </c>
    </row>
    <row r="16" spans="2:8" s="481" customFormat="1" ht="30" customHeight="1">
      <c r="B16" s="475">
        <f>'תקבולים מפורט'!D374</f>
        <v>997</v>
      </c>
      <c r="C16" s="476">
        <f>'תקבולים מפורט'!E374</f>
        <v>379000</v>
      </c>
      <c r="D16" s="477" t="str">
        <f>'תקבולים מפורט'!F374</f>
        <v>השתתפות המשרד לאיכות הסביבה להפעלת היח' לאיכה"ס</v>
      </c>
      <c r="E16" s="478">
        <f>'תקבולים מפורט'!G374</f>
        <v>151</v>
      </c>
      <c r="F16" s="479">
        <f t="shared" si="0"/>
        <v>2.4737876802096985E-2</v>
      </c>
      <c r="G16" s="480">
        <f>E16/סעיפים!$D$11</f>
        <v>1.466019417475728E-4</v>
      </c>
    </row>
    <row r="17" spans="2:9" s="481" customFormat="1" ht="30" customHeight="1">
      <c r="B17" s="574">
        <f>'תקבולים מפורט'!D375</f>
        <v>997</v>
      </c>
      <c r="C17" s="575">
        <f>'תקבולים מפורט'!E375</f>
        <v>379001</v>
      </c>
      <c r="D17" s="576" t="str">
        <f>'תקבולים מפורט'!F375</f>
        <v>השתתפות נוספת של המשרד לאיכות הסביבה</v>
      </c>
      <c r="E17" s="577">
        <f>'תקבולים מפורט'!G375</f>
        <v>302</v>
      </c>
      <c r="F17" s="479">
        <f t="shared" si="0"/>
        <v>4.947575360419397E-2</v>
      </c>
      <c r="G17" s="480">
        <f>E17/סעיפים!$D$11</f>
        <v>2.932038834951456E-4</v>
      </c>
    </row>
    <row r="18" spans="2:9" s="489" customFormat="1" ht="30" customHeight="1">
      <c r="B18" s="483">
        <f>'תקבולים מפורט'!D410</f>
        <v>910</v>
      </c>
      <c r="C18" s="484">
        <f>'תקבולים מפורט'!E410</f>
        <v>594000</v>
      </c>
      <c r="D18" s="485" t="str">
        <f>'תקבולים מפורט'!F410</f>
        <v>השתתפות משרד הפנים לפנסיה צוברת</v>
      </c>
      <c r="E18" s="486">
        <f>'תקבולים מפורט'!G410</f>
        <v>170</v>
      </c>
      <c r="F18" s="487">
        <f t="shared" si="0"/>
        <v>2.7850589777195282E-2</v>
      </c>
      <c r="G18" s="488">
        <f>E18/סעיפים!$D$11</f>
        <v>1.6504854368932039E-4</v>
      </c>
    </row>
    <row r="19" spans="2:9" s="489" customFormat="1" ht="30" customHeight="1" thickBot="1">
      <c r="B19" s="536" t="s">
        <v>1853</v>
      </c>
      <c r="C19" s="537"/>
      <c r="D19" s="538"/>
      <c r="E19" s="539">
        <f>SUM(E7:E18)</f>
        <v>6104</v>
      </c>
      <c r="F19" s="540">
        <f>SUM(F7:F18)</f>
        <v>1</v>
      </c>
      <c r="G19" s="541">
        <f>SUM(G7:G18)</f>
        <v>5.9262135922330096E-3</v>
      </c>
      <c r="I19" s="542"/>
    </row>
    <row r="20" spans="2:9" ht="22.5" customHeight="1">
      <c r="B20" s="54"/>
    </row>
    <row r="22" spans="2:9" s="412" customFormat="1" ht="13">
      <c r="D22" s="586"/>
      <c r="E22" s="578"/>
    </row>
    <row r="23" spans="2:9" s="412" customFormat="1" ht="13">
      <c r="E23" s="578"/>
    </row>
    <row r="1651" spans="10:10">
      <c r="J1651" s="1">
        <v>50</v>
      </c>
    </row>
    <row r="1818" spans="10:10">
      <c r="J1818" s="1">
        <f>29950-720-450-50</f>
        <v>28730</v>
      </c>
    </row>
  </sheetData>
  <mergeCells count="4">
    <mergeCell ref="B4:B6"/>
    <mergeCell ref="C4:C6"/>
    <mergeCell ref="D4:D6"/>
    <mergeCell ref="F4:G4"/>
  </mergeCells>
  <phoneticPr fontId="12" type="noConversion"/>
  <conditionalFormatting sqref="E23">
    <cfRule type="cellIs" dxfId="20" priority="1" stopIfTrue="1" operator="notEqual">
      <formula>0</formula>
    </cfRule>
    <cfRule type="cellIs" dxfId="19" priority="2" stopIfTrue="1" operator="equal">
      <formula>0</formula>
    </cfRule>
  </conditionalFormatting>
  <pageMargins left="0.74803149606299213" right="0.6692913385826772" top="1.1023622047244095" bottom="0.55118110236220474" header="0.43307086614173229" footer="0.27559055118110237"/>
  <pageSetup scale="95"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8" max="16383" man="1"/>
    <brk id="230" max="16383" man="1"/>
    <brk id="120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showGridLines="0" rightToLeft="1" view="pageBreakPreview" zoomScale="90" zoomScaleNormal="110" zoomScaleSheetLayoutView="90" workbookViewId="0">
      <selection activeCell="D68" sqref="D68"/>
    </sheetView>
  </sheetViews>
  <sheetFormatPr defaultColWidth="9.58203125" defaultRowHeight="14"/>
  <cols>
    <col min="1" max="1" width="15.08203125" style="1" customWidth="1"/>
    <col min="2" max="2" width="4.58203125" style="1" customWidth="1"/>
    <col min="3" max="3" width="34.58203125" style="1" customWidth="1"/>
    <col min="4" max="10" width="8.58203125" style="1" customWidth="1"/>
    <col min="11" max="16384" width="9.58203125" style="1"/>
  </cols>
  <sheetData>
    <row r="1" spans="2:8" ht="19.5" customHeight="1">
      <c r="B1" s="30" t="s">
        <v>157</v>
      </c>
      <c r="C1" s="2"/>
      <c r="D1" s="2"/>
      <c r="E1" s="2"/>
      <c r="F1" s="2"/>
      <c r="G1" s="2"/>
      <c r="H1" s="2"/>
    </row>
    <row r="2" spans="2:8" ht="15" customHeight="1">
      <c r="B2" s="19"/>
      <c r="C2" s="20" t="str">
        <f>'תשלומים מפורט'!F1</f>
        <v>ה צ ע ת  התקציב הרגיל לשנת: 2021</v>
      </c>
      <c r="D2" s="168" t="str">
        <f>'תקבולים מפורט'!G1</f>
        <v>תקציב</v>
      </c>
      <c r="E2" s="169" t="str">
        <f>'תקבולים מפורט'!H1</f>
        <v>אומדן</v>
      </c>
      <c r="F2" s="168" t="str">
        <f>'תקבולים מפורט'!I1</f>
        <v xml:space="preserve">תקציב </v>
      </c>
      <c r="G2" s="169" t="str">
        <f>'תקבולים מפורט'!J1</f>
        <v>תקציב</v>
      </c>
      <c r="H2" s="169" t="str">
        <f>'תקבולים מפורט'!K1</f>
        <v>ביצוע</v>
      </c>
    </row>
    <row r="3" spans="2:8" ht="15" customHeight="1">
      <c r="B3" s="24" t="s">
        <v>158</v>
      </c>
      <c r="C3" s="25" t="str">
        <f>'תקבולים מפורט'!F2</f>
        <v>ת ק ב ו ל י ם  - באלפי ש"ח</v>
      </c>
      <c r="D3" s="170" t="str">
        <f>'תקבולים מפורט'!G2</f>
        <v>2021</v>
      </c>
      <c r="E3" s="25" t="str">
        <f>'תקבולים מפורט'!H2</f>
        <v>2020</v>
      </c>
      <c r="F3" s="170" t="str">
        <f>'תקבולים מפורט'!I2</f>
        <v>סופי 2020</v>
      </c>
      <c r="G3" s="25" t="str">
        <f>'תקבולים מפורט'!J2</f>
        <v>מקורי 2020</v>
      </c>
      <c r="H3" s="25" t="str">
        <f>'תקבולים מפורט'!K2</f>
        <v>2019</v>
      </c>
    </row>
    <row r="4" spans="2:8" ht="15" customHeight="1">
      <c r="B4" s="21" t="s">
        <v>159</v>
      </c>
      <c r="C4" s="10" t="str">
        <f>[0]!_1.</f>
        <v>מיסים ואגרות</v>
      </c>
      <c r="D4" s="55"/>
      <c r="E4" s="55"/>
      <c r="F4" s="55"/>
      <c r="G4" s="55"/>
      <c r="H4" s="55"/>
    </row>
    <row r="5" spans="2:8" ht="15" customHeight="1">
      <c r="B5" s="22" t="str">
        <f>'תקבולים מפורט'!E16</f>
        <v>11.</v>
      </c>
      <c r="C5" s="11" t="str">
        <f>[0]!_11.</f>
        <v>ארנונות</v>
      </c>
      <c r="D5" s="171">
        <f>'תקבולים מפורט'!G16</f>
        <v>633000</v>
      </c>
      <c r="E5" s="171">
        <f>'תקבולים מפורט'!H16</f>
        <v>691500</v>
      </c>
      <c r="F5" s="171">
        <f>'תקבולים מפורט'!I16</f>
        <v>683425</v>
      </c>
      <c r="G5" s="171">
        <f>'תקבולים מפורט'!J16</f>
        <v>618935</v>
      </c>
      <c r="H5" s="171">
        <f>'תקבולים מפורט'!K16</f>
        <v>622308.00364000001</v>
      </c>
    </row>
    <row r="6" spans="2:8" ht="15" customHeight="1">
      <c r="B6" s="22" t="str">
        <f>'תקבולים מפורט'!E21</f>
        <v>12.</v>
      </c>
      <c r="C6" s="11" t="str">
        <f>'תקבולים מפורט'!F17</f>
        <v>אגרות ועמלות גבייה</v>
      </c>
      <c r="D6" s="171">
        <f>'תקבולים מפורט'!G21</f>
        <v>2517</v>
      </c>
      <c r="E6" s="171">
        <f>'תקבולים מפורט'!H21</f>
        <v>1262</v>
      </c>
      <c r="F6" s="171">
        <f>'תקבולים מפורט'!I21</f>
        <v>2195</v>
      </c>
      <c r="G6" s="171">
        <f>'תקבולים מפורט'!J21</f>
        <v>2820</v>
      </c>
      <c r="H6" s="171">
        <f>'תקבולים מפורט'!K21</f>
        <v>2459.9441099999995</v>
      </c>
    </row>
    <row r="7" spans="2:8" ht="15" customHeight="1">
      <c r="B7" s="23" t="s">
        <v>159</v>
      </c>
      <c r="C7" s="12" t="s">
        <v>160</v>
      </c>
      <c r="D7" s="172">
        <f>SUM(D5:D6)</f>
        <v>635517</v>
      </c>
      <c r="E7" s="172">
        <f>SUM(E5:E6)</f>
        <v>692762</v>
      </c>
      <c r="F7" s="172">
        <f>SUM(F5:F6)</f>
        <v>685620</v>
      </c>
      <c r="G7" s="172">
        <f>SUM(G5:G6)</f>
        <v>621755</v>
      </c>
      <c r="H7" s="172">
        <f>SUM(H5:H6)</f>
        <v>624767.94775000005</v>
      </c>
    </row>
    <row r="8" spans="2:8" ht="15" customHeight="1">
      <c r="B8" s="21" t="s">
        <v>161</v>
      </c>
      <c r="C8" s="10" t="str">
        <f>[0]!_2.</f>
        <v>שרותים מקומיים</v>
      </c>
      <c r="D8" s="173"/>
      <c r="E8" s="173"/>
      <c r="F8" s="173"/>
      <c r="G8" s="173"/>
      <c r="H8" s="173"/>
    </row>
    <row r="9" spans="2:8" ht="15" customHeight="1">
      <c r="B9" s="22" t="str">
        <f>'תקבולים מפורט'!E35</f>
        <v>21.</v>
      </c>
      <c r="C9" s="11" t="str">
        <f>[0]!_21.</f>
        <v>תברואה</v>
      </c>
      <c r="D9" s="171">
        <f>'תקבולים מפורט'!G35</f>
        <v>3473</v>
      </c>
      <c r="E9" s="171">
        <f>'תקבולים מפורט'!H35</f>
        <v>2999</v>
      </c>
      <c r="F9" s="171">
        <f>'תקבולים מפורט'!I35</f>
        <v>3350</v>
      </c>
      <c r="G9" s="171">
        <f>'תקבולים מפורט'!J35</f>
        <v>3350</v>
      </c>
      <c r="H9" s="171">
        <f>'תקבולים מפורט'!K35</f>
        <v>2120.0446100000004</v>
      </c>
    </row>
    <row r="10" spans="2:8" ht="15" customHeight="1">
      <c r="B10" s="22" t="str">
        <f>'תקבולים מפורט'!E40</f>
        <v>22.</v>
      </c>
      <c r="C10" s="11" t="str">
        <f>[0]!_22.</f>
        <v>שמירה ובטחון</v>
      </c>
      <c r="D10" s="171">
        <f>'תקבולים מפורט'!G40</f>
        <v>0</v>
      </c>
      <c r="E10" s="171">
        <f>'תקבולים מפורט'!H40</f>
        <v>377</v>
      </c>
      <c r="F10" s="171">
        <f>'תקבולים מפורט'!I40</f>
        <v>320</v>
      </c>
      <c r="G10" s="171">
        <f>'תקבולים מפורט'!J40</f>
        <v>0</v>
      </c>
      <c r="H10" s="171">
        <f>'תקבולים מפורט'!K40</f>
        <v>69.12915000000001</v>
      </c>
    </row>
    <row r="11" spans="2:8" ht="15" customHeight="1">
      <c r="B11" s="22" t="str">
        <f>'תקבולים מפורט'!E52</f>
        <v>23.</v>
      </c>
      <c r="C11" s="11" t="str">
        <f>[0]!_23.</f>
        <v>תכנון ובניין עיר</v>
      </c>
      <c r="D11" s="171">
        <f>'תקבולים מפורט'!G52</f>
        <v>28042</v>
      </c>
      <c r="E11" s="171">
        <f>'תקבולים מפורט'!H52</f>
        <v>25872</v>
      </c>
      <c r="F11" s="171">
        <f>'תקבולים מפורט'!I52</f>
        <v>28848</v>
      </c>
      <c r="G11" s="171">
        <f>'תקבולים מפורט'!J52</f>
        <v>28901</v>
      </c>
      <c r="H11" s="171">
        <f>'תקבולים מפורט'!K52</f>
        <v>21893.334069999997</v>
      </c>
    </row>
    <row r="12" spans="2:8" ht="15" customHeight="1">
      <c r="B12" s="22" t="str">
        <f>'תקבולים מפורט'!E61</f>
        <v>24.</v>
      </c>
      <c r="C12" s="11" t="str">
        <f>[0]!_24.</f>
        <v>נכסים צבוריים</v>
      </c>
      <c r="D12" s="171">
        <f>'תקבולים מפורט'!G61</f>
        <v>360</v>
      </c>
      <c r="E12" s="171">
        <f>'תקבולים מפורט'!H61</f>
        <v>120</v>
      </c>
      <c r="F12" s="171">
        <f>'תקבולים מפורט'!I61</f>
        <v>520</v>
      </c>
      <c r="G12" s="171">
        <f>'תקבולים מפורט'!J61</f>
        <v>520</v>
      </c>
      <c r="H12" s="171">
        <f>'תקבולים מפורט'!K61</f>
        <v>309.67599999999999</v>
      </c>
    </row>
    <row r="13" spans="2:8" ht="15" customHeight="1">
      <c r="B13" s="22" t="str">
        <f>'תקבולים מפורט'!E71</f>
        <v>26.</v>
      </c>
      <c r="C13" s="11" t="str">
        <f>[0]!_26.</f>
        <v>הכנסות שונות</v>
      </c>
      <c r="D13" s="171">
        <f>'תקבולים מפורט'!G71</f>
        <v>765</v>
      </c>
      <c r="E13" s="171">
        <f>'תקבולים מפורט'!H71</f>
        <v>692</v>
      </c>
      <c r="F13" s="171">
        <f>'תקבולים מפורט'!I71</f>
        <v>726</v>
      </c>
      <c r="G13" s="171">
        <f>'תקבולים מפורט'!J71</f>
        <v>726</v>
      </c>
      <c r="H13" s="171">
        <f>'תקבולים מפורט'!K71</f>
        <v>775.91425000000004</v>
      </c>
    </row>
    <row r="14" spans="2:8" ht="15" customHeight="1">
      <c r="B14" s="22" t="str">
        <f>'תקבולים מפורט'!E77</f>
        <v>28.</v>
      </c>
      <c r="C14" s="11" t="str">
        <f>[0]!_28.</f>
        <v>פיקוח עירוני</v>
      </c>
      <c r="D14" s="171">
        <f>'תקבולים מפורט'!G77</f>
        <v>2450</v>
      </c>
      <c r="E14" s="171">
        <f>'תקבולים מפורט'!H77</f>
        <v>1955</v>
      </c>
      <c r="F14" s="171">
        <f>'תקבולים מפורט'!I77</f>
        <v>2455</v>
      </c>
      <c r="G14" s="171">
        <f>'תקבולים מפורט'!J77</f>
        <v>2450</v>
      </c>
      <c r="H14" s="171">
        <f>'תקבולים מפורט'!K77</f>
        <v>2767.8266799999997</v>
      </c>
    </row>
    <row r="15" spans="2:8" ht="15" customHeight="1">
      <c r="B15" s="22" t="str">
        <f>'תקבולים מפורט'!E80</f>
        <v>29.</v>
      </c>
      <c r="C15" s="11" t="str">
        <f>[0]!_29.</f>
        <v>שרותים חקלאיים</v>
      </c>
      <c r="D15" s="171">
        <f>'תקבולים מפורט'!G80</f>
        <v>40</v>
      </c>
      <c r="E15" s="171">
        <f>'תקבולים מפורט'!H80</f>
        <v>40</v>
      </c>
      <c r="F15" s="171">
        <f>'תקבולים מפורט'!I80</f>
        <v>105</v>
      </c>
      <c r="G15" s="171">
        <f>'תקבולים מפורט'!J80</f>
        <v>105</v>
      </c>
      <c r="H15" s="171">
        <f>'תקבולים מפורט'!K80</f>
        <v>180.244</v>
      </c>
    </row>
    <row r="16" spans="2:8" ht="15" customHeight="1">
      <c r="B16" s="23" t="s">
        <v>161</v>
      </c>
      <c r="C16" s="12" t="s">
        <v>162</v>
      </c>
      <c r="D16" s="172">
        <f>SUM(D9:D15)</f>
        <v>35130</v>
      </c>
      <c r="E16" s="172">
        <f>SUM(E9:E15)</f>
        <v>32055</v>
      </c>
      <c r="F16" s="172">
        <f>SUM(F9:F15)</f>
        <v>36324</v>
      </c>
      <c r="G16" s="172">
        <f>SUM(G9:G15)</f>
        <v>36052</v>
      </c>
      <c r="H16" s="172">
        <f>SUM(H9:H15)</f>
        <v>28116.168759999997</v>
      </c>
    </row>
    <row r="17" spans="2:8" ht="15" customHeight="1">
      <c r="B17" s="21" t="s">
        <v>163</v>
      </c>
      <c r="C17" s="10" t="str">
        <f>[0]!_3.</f>
        <v>שרותים ממלכתיים</v>
      </c>
      <c r="D17" s="173"/>
      <c r="E17" s="173"/>
      <c r="F17" s="173"/>
      <c r="G17" s="173"/>
      <c r="H17" s="173"/>
    </row>
    <row r="18" spans="2:8" ht="15" customHeight="1">
      <c r="B18" s="22" t="str">
        <f>'תקבולים מפורט'!E169</f>
        <v>31.</v>
      </c>
      <c r="C18" s="11" t="str">
        <f>[0]!_31.</f>
        <v>ח י נ ו ך</v>
      </c>
      <c r="D18" s="171">
        <f>'תקבולים מפורט'!G169</f>
        <v>210115</v>
      </c>
      <c r="E18" s="171">
        <f>'תקבולים מפורט'!H169</f>
        <v>204883</v>
      </c>
      <c r="F18" s="171">
        <f>'תקבולים מפורט'!I169</f>
        <v>203443</v>
      </c>
      <c r="G18" s="171">
        <f>'תקבולים מפורט'!J169</f>
        <v>192620</v>
      </c>
      <c r="H18" s="171">
        <f>'תקבולים מפורט'!K169</f>
        <v>185895.80471999999</v>
      </c>
    </row>
    <row r="19" spans="2:8" ht="15" customHeight="1">
      <c r="B19" s="22" t="str">
        <f>'תקבולים מפורט'!E205</f>
        <v>32.</v>
      </c>
      <c r="C19" s="11" t="str">
        <f>[0]!_32.</f>
        <v>תרבות, נוער וספורט</v>
      </c>
      <c r="D19" s="171">
        <f>'תקבולים מפורט'!G205</f>
        <v>4229</v>
      </c>
      <c r="E19" s="171">
        <f>'תקבולים מפורט'!H205</f>
        <v>2674</v>
      </c>
      <c r="F19" s="171">
        <f>'תקבולים מפורט'!I205</f>
        <v>4015</v>
      </c>
      <c r="G19" s="171">
        <f>'תקבולים מפורט'!J205</f>
        <v>4581</v>
      </c>
      <c r="H19" s="171">
        <f>'תקבולים מפורט'!K205</f>
        <v>4654.4530700000005</v>
      </c>
    </row>
    <row r="20" spans="2:8" ht="15" customHeight="1">
      <c r="B20" s="22" t="str">
        <f>'תקבולים מפורט'!E206</f>
        <v>33.</v>
      </c>
      <c r="C20" s="11" t="s">
        <v>529</v>
      </c>
      <c r="D20" s="171">
        <f>'תקבולים מפורט'!G210</f>
        <v>120</v>
      </c>
      <c r="E20" s="171">
        <f>'תקבולים מפורט'!H210</f>
        <v>120</v>
      </c>
      <c r="F20" s="171">
        <f>'תקבולים מפורט'!I210</f>
        <v>120</v>
      </c>
      <c r="G20" s="171">
        <f>'תקבולים מפורט'!J210</f>
        <v>120</v>
      </c>
      <c r="H20" s="171">
        <f>'תקבולים מפורט'!K210</f>
        <v>120</v>
      </c>
    </row>
    <row r="21" spans="2:8" ht="15" customHeight="1">
      <c r="B21" s="22" t="str">
        <f>'תקבולים מפורט'!E362</f>
        <v>34.</v>
      </c>
      <c r="C21" s="11" t="str">
        <f>[0]!_34.</f>
        <v>שרותי חברה, רווחה וקהילה</v>
      </c>
      <c r="D21" s="171">
        <f>'תקבולים מפורט'!G362</f>
        <v>72093</v>
      </c>
      <c r="E21" s="171">
        <f>'תקבולים מפורט'!H362</f>
        <v>68514</v>
      </c>
      <c r="F21" s="171">
        <f>'תקבולים מפורט'!I362</f>
        <v>68913</v>
      </c>
      <c r="G21" s="171">
        <f>'תקבולים מפורט'!J362</f>
        <v>67347</v>
      </c>
      <c r="H21" s="171">
        <f>'תקבולים מפורט'!K362</f>
        <v>65812.316859999992</v>
      </c>
    </row>
    <row r="22" spans="2:8" ht="15" customHeight="1">
      <c r="B22" s="22" t="str">
        <f>'תקבולים מפורט'!E370</f>
        <v>36.</v>
      </c>
      <c r="C22" s="13" t="str">
        <f>'תשלומים מפורט'!_36.</f>
        <v>קליטת עלייה</v>
      </c>
      <c r="D22" s="171">
        <f>'תקבולים מפורט'!G370</f>
        <v>196</v>
      </c>
      <c r="E22" s="171">
        <f>'תקבולים מפורט'!H370</f>
        <v>84</v>
      </c>
      <c r="F22" s="171">
        <f>'תקבולים מפורט'!I370</f>
        <v>236</v>
      </c>
      <c r="G22" s="171">
        <f>'תקבולים מפורט'!J370</f>
        <v>236</v>
      </c>
      <c r="H22" s="171">
        <f>'תקבולים מפורט'!K370</f>
        <v>59.852160000000005</v>
      </c>
    </row>
    <row r="23" spans="2:8" ht="15" customHeight="1">
      <c r="B23" s="22" t="str">
        <f>'תקבולים מפורט'!E376</f>
        <v>37.</v>
      </c>
      <c r="C23" s="13" t="s">
        <v>1059</v>
      </c>
      <c r="D23" s="171">
        <f>'תקבולים מפורט'!G376</f>
        <v>608</v>
      </c>
      <c r="E23" s="171">
        <f>'תקבולים מפורט'!H376</f>
        <v>563</v>
      </c>
      <c r="F23" s="171">
        <f>'תקבולים מפורט'!I376</f>
        <v>638</v>
      </c>
      <c r="G23" s="171">
        <f>'תקבולים מפורט'!J376</f>
        <v>650</v>
      </c>
      <c r="H23" s="171">
        <f>'תקבולים מפורט'!K376</f>
        <v>545.15991000000008</v>
      </c>
    </row>
    <row r="24" spans="2:8" ht="15" customHeight="1">
      <c r="B24" s="23" t="s">
        <v>163</v>
      </c>
      <c r="C24" s="12" t="s">
        <v>164</v>
      </c>
      <c r="D24" s="172">
        <f>SUM(D18:D23)</f>
        <v>287361</v>
      </c>
      <c r="E24" s="172">
        <f>SUM(E18:E23)</f>
        <v>276838</v>
      </c>
      <c r="F24" s="172">
        <f>SUM(F18:F23)</f>
        <v>277365</v>
      </c>
      <c r="G24" s="172">
        <f>SUM(G18:G23)</f>
        <v>265554</v>
      </c>
      <c r="H24" s="172">
        <f>SUM(H18:H23)</f>
        <v>257087.58671999996</v>
      </c>
    </row>
    <row r="25" spans="2:8" ht="15" customHeight="1">
      <c r="B25" s="21" t="s">
        <v>165</v>
      </c>
      <c r="C25" s="10" t="s">
        <v>1099</v>
      </c>
      <c r="D25" s="173"/>
      <c r="E25" s="173"/>
      <c r="F25" s="173"/>
      <c r="G25" s="173"/>
      <c r="H25" s="173"/>
    </row>
    <row r="26" spans="2:8" ht="15" customHeight="1">
      <c r="B26" s="22" t="str">
        <f>'תקבולים מפורט'!E383</f>
        <v>41.</v>
      </c>
      <c r="C26" s="13" t="s">
        <v>1101</v>
      </c>
      <c r="D26" s="171">
        <f>'תקבולים מפורט'!G383</f>
        <v>2010</v>
      </c>
      <c r="E26" s="171">
        <f>'תקבולים מפורט'!H383</f>
        <v>2235</v>
      </c>
      <c r="F26" s="171">
        <f>'תקבולים מפורט'!I383</f>
        <v>2175</v>
      </c>
      <c r="G26" s="171">
        <f>'תקבולים מפורט'!J383</f>
        <v>2175</v>
      </c>
      <c r="H26" s="171">
        <f>'תקבולים מפורט'!K383</f>
        <v>2294.5841700000001</v>
      </c>
    </row>
    <row r="27" spans="2:8" ht="15" customHeight="1">
      <c r="B27" s="22" t="str">
        <f>'תקבולים מפורט'!E388</f>
        <v>43.</v>
      </c>
      <c r="C27" s="13" t="s">
        <v>320</v>
      </c>
      <c r="D27" s="171">
        <f>'תקבולים מפורט'!G388</f>
        <v>7990</v>
      </c>
      <c r="E27" s="171">
        <f>'תקבולים מפורט'!H388</f>
        <v>7990</v>
      </c>
      <c r="F27" s="171">
        <f>'תקבולים מפורט'!I388</f>
        <v>10790</v>
      </c>
      <c r="G27" s="171">
        <f>'תקבולים מפורט'!J388</f>
        <v>11440</v>
      </c>
      <c r="H27" s="171">
        <f>'תקבולים מפורט'!K388</f>
        <v>11573.947949999998</v>
      </c>
    </row>
    <row r="28" spans="2:8" ht="15" customHeight="1">
      <c r="B28" s="22" t="str">
        <f>'תקבולים מפורט'!E393</f>
        <v>44.</v>
      </c>
      <c r="C28" s="13" t="s">
        <v>1154</v>
      </c>
      <c r="D28" s="171">
        <f>'תקבולים מפורט'!G393</f>
        <v>32960</v>
      </c>
      <c r="E28" s="171">
        <f>'תקבולים מפורט'!H393</f>
        <v>27220</v>
      </c>
      <c r="F28" s="171">
        <f>'תקבולים מפורט'!I393</f>
        <v>35200</v>
      </c>
      <c r="G28" s="171">
        <f>'תקבולים מפורט'!J393</f>
        <v>35200</v>
      </c>
      <c r="H28" s="171">
        <f>'תקבולים מפורט'!K393</f>
        <v>35338.250169999999</v>
      </c>
    </row>
    <row r="29" spans="2:8" ht="15" customHeight="1">
      <c r="B29" s="22" t="str">
        <f>'תקבולים מפורט'!E398</f>
        <v>47.</v>
      </c>
      <c r="C29" s="13" t="s">
        <v>659</v>
      </c>
      <c r="D29" s="171">
        <f>'תקבולים מפורט'!G398</f>
        <v>1356</v>
      </c>
      <c r="E29" s="171">
        <f>'תקבולים מפורט'!H398</f>
        <v>1628</v>
      </c>
      <c r="F29" s="171">
        <f>'תקבולים מפורט'!I398</f>
        <v>1880</v>
      </c>
      <c r="G29" s="171">
        <f>'תקבולים מפורט'!J398</f>
        <v>1880</v>
      </c>
      <c r="H29" s="171">
        <f>'תקבולים מפורט'!K398</f>
        <v>1715.7104400000001</v>
      </c>
    </row>
    <row r="30" spans="2:8" ht="15" customHeight="1">
      <c r="B30" s="23" t="s">
        <v>165</v>
      </c>
      <c r="C30" s="12" t="s">
        <v>166</v>
      </c>
      <c r="D30" s="172">
        <f>SUM(D26:D29)</f>
        <v>44316</v>
      </c>
      <c r="E30" s="172">
        <f>SUM(E26:E29)</f>
        <v>39073</v>
      </c>
      <c r="F30" s="172">
        <f>SUM(F26:F29)</f>
        <v>50045</v>
      </c>
      <c r="G30" s="172">
        <f>SUM(G26:G29)</f>
        <v>50695</v>
      </c>
      <c r="H30" s="172">
        <f>SUM(H26:H29)</f>
        <v>50922.492729999998</v>
      </c>
    </row>
    <row r="31" spans="2:8" ht="15" customHeight="1">
      <c r="B31" s="21" t="s">
        <v>255</v>
      </c>
      <c r="C31" s="10" t="s">
        <v>817</v>
      </c>
      <c r="D31" s="173"/>
      <c r="E31" s="173"/>
      <c r="F31" s="173"/>
      <c r="G31" s="173"/>
      <c r="H31" s="173"/>
    </row>
    <row r="32" spans="2:8" ht="15" customHeight="1">
      <c r="B32" s="23" t="s">
        <v>255</v>
      </c>
      <c r="C32" s="12" t="s">
        <v>1137</v>
      </c>
      <c r="D32" s="172">
        <f>'תקבולים מפורט'!G413</f>
        <v>27676</v>
      </c>
      <c r="E32" s="172">
        <f>'תקבולים מפורט'!H413</f>
        <v>22225</v>
      </c>
      <c r="F32" s="172">
        <f>'תקבולים מפורט'!I413</f>
        <v>26694</v>
      </c>
      <c r="G32" s="172">
        <f>'תקבולים מפורט'!J413</f>
        <v>26694</v>
      </c>
      <c r="H32" s="172">
        <f>'תקבולים מפורט'!K413</f>
        <v>30348.456569999998</v>
      </c>
    </row>
    <row r="33" spans="2:8" s="32" customFormat="1" ht="15" customHeight="1">
      <c r="B33" s="33" t="s">
        <v>256</v>
      </c>
      <c r="C33" s="34" t="s">
        <v>257</v>
      </c>
      <c r="D33" s="174">
        <f>SUMIF($B$4:$B$32,"?.",D4:D32)</f>
        <v>1030000</v>
      </c>
      <c r="E33" s="174">
        <f>SUMIF($B$4:$B$32,"?.",E4:E32)</f>
        <v>1062953</v>
      </c>
      <c r="F33" s="174">
        <f>SUMIF($B$4:$B$32,"?.",F4:F32)</f>
        <v>1076048</v>
      </c>
      <c r="G33" s="174">
        <f>SUMIF($B$4:$B$32,"?.",G4:G32)</f>
        <v>1000750</v>
      </c>
      <c r="H33" s="174">
        <f>SUMIF($B$4:$B$32,"?.",H4:H32)</f>
        <v>991242.6525300002</v>
      </c>
    </row>
    <row r="34" spans="2:8" s="32" customFormat="1" ht="15" customHeight="1">
      <c r="B34" s="185"/>
      <c r="C34" s="186"/>
      <c r="D34" s="187"/>
      <c r="E34" s="187"/>
      <c r="F34" s="187"/>
      <c r="G34" s="187"/>
      <c r="H34" s="187"/>
    </row>
    <row r="35" spans="2:8" ht="19.5" customHeight="1">
      <c r="B35" s="30" t="s">
        <v>779</v>
      </c>
      <c r="C35" s="2"/>
      <c r="D35" s="2"/>
      <c r="E35" s="2"/>
      <c r="F35" s="2"/>
      <c r="G35" s="2"/>
      <c r="H35" s="2"/>
    </row>
    <row r="36" spans="2:8" ht="15.75" customHeight="1">
      <c r="B36" s="176"/>
      <c r="C36" s="20" t="str">
        <f t="shared" ref="C36:H36" si="0">C2</f>
        <v>ה צ ע ת  התקציב הרגיל לשנת: 2021</v>
      </c>
      <c r="D36" s="168" t="str">
        <f t="shared" si="0"/>
        <v>תקציב</v>
      </c>
      <c r="E36" s="169" t="str">
        <f t="shared" si="0"/>
        <v>אומדן</v>
      </c>
      <c r="F36" s="168" t="str">
        <f t="shared" si="0"/>
        <v xml:space="preserve">תקציב </v>
      </c>
      <c r="G36" s="169" t="str">
        <f t="shared" si="0"/>
        <v>תקציב</v>
      </c>
      <c r="H36" s="169" t="str">
        <f t="shared" si="0"/>
        <v>ביצוע</v>
      </c>
    </row>
    <row r="37" spans="2:8" ht="15.75" customHeight="1">
      <c r="B37" s="177" t="str">
        <f>B3</f>
        <v>הפרק</v>
      </c>
      <c r="C37" s="25" t="str">
        <f>'תשלומים מפורט'!F2</f>
        <v>ת ש ל ו מ י ם  -  באלפי ש"ח</v>
      </c>
      <c r="D37" s="170" t="str">
        <f>D3</f>
        <v>2021</v>
      </c>
      <c r="E37" s="25" t="str">
        <f>E3</f>
        <v>2020</v>
      </c>
      <c r="F37" s="170" t="str">
        <f>F3</f>
        <v>סופי 2020</v>
      </c>
      <c r="G37" s="25" t="str">
        <f>G3</f>
        <v>מקורי 2020</v>
      </c>
      <c r="H37" s="25" t="str">
        <f>H3</f>
        <v>2019</v>
      </c>
    </row>
    <row r="38" spans="2:8" ht="12.75" customHeight="1">
      <c r="B38" s="21" t="s">
        <v>386</v>
      </c>
      <c r="C38" s="10" t="str">
        <f>[0]!_6.</f>
        <v>מינהל ומימון</v>
      </c>
      <c r="D38" s="175"/>
      <c r="E38" s="175"/>
      <c r="F38" s="175"/>
      <c r="G38" s="175"/>
      <c r="H38" s="175"/>
    </row>
    <row r="39" spans="2:8" ht="12.75" customHeight="1">
      <c r="B39" s="22" t="str">
        <f>'תשלומים מפורט'!E156</f>
        <v>61.</v>
      </c>
      <c r="C39" s="11" t="str">
        <f>[0]!_61.</f>
        <v>מינהל כללי</v>
      </c>
      <c r="D39" s="171">
        <f>'תשלומים מפורט'!J156</f>
        <v>43824</v>
      </c>
      <c r="E39" s="171">
        <f>'תשלומים מפורט'!K156</f>
        <v>40273</v>
      </c>
      <c r="F39" s="171">
        <f>'תשלומים מפורט'!L156</f>
        <v>42248</v>
      </c>
      <c r="G39" s="171">
        <f>'תשלומים מפורט'!M156</f>
        <v>43672</v>
      </c>
      <c r="H39" s="171">
        <f>'תשלומים מפורט'!N156</f>
        <v>34886.713860000003</v>
      </c>
    </row>
    <row r="40" spans="2:8" ht="12.75" customHeight="1">
      <c r="B40" s="22" t="str">
        <f>'תשלומים מפורט'!E197</f>
        <v>62.</v>
      </c>
      <c r="C40" s="11" t="str">
        <f>[0]!_62.</f>
        <v>מינהל כספי</v>
      </c>
      <c r="D40" s="171">
        <f>'תשלומים מפורט'!J197</f>
        <v>21246</v>
      </c>
      <c r="E40" s="171">
        <f>'תשלומים מפורט'!K197</f>
        <v>19057</v>
      </c>
      <c r="F40" s="171">
        <f>'תשלומים מפורט'!L197</f>
        <v>20522</v>
      </c>
      <c r="G40" s="171">
        <f>'תשלומים מפורט'!M197</f>
        <v>20904</v>
      </c>
      <c r="H40" s="171">
        <f>'תשלומים מפורט'!N197</f>
        <v>17864.063460000001</v>
      </c>
    </row>
    <row r="41" spans="2:8" ht="12.75" customHeight="1">
      <c r="B41" s="22" t="str">
        <f>'תשלומים מפורט'!E207</f>
        <v>63.</v>
      </c>
      <c r="C41" s="11" t="str">
        <f>[0]!_63.</f>
        <v>הוצאות מימון</v>
      </c>
      <c r="D41" s="171">
        <f>'תשלומים מפורט'!J207</f>
        <v>3635</v>
      </c>
      <c r="E41" s="171">
        <f>'תשלומים מפורט'!K207</f>
        <v>3271</v>
      </c>
      <c r="F41" s="171">
        <f>'תשלומים מפורט'!L207</f>
        <v>3595</v>
      </c>
      <c r="G41" s="171">
        <f>'תשלומים מפורט'!M207</f>
        <v>3595</v>
      </c>
      <c r="H41" s="171">
        <f>'תשלומים מפורט'!N207</f>
        <v>3414.5110600000003</v>
      </c>
    </row>
    <row r="42" spans="2:8" ht="12.75" customHeight="1">
      <c r="B42" s="22" t="str">
        <f>'תשלומים מפורט'!E229</f>
        <v>64.</v>
      </c>
      <c r="C42" s="11" t="str">
        <f>[0]!_64.</f>
        <v>פרעון מלוות</v>
      </c>
      <c r="D42" s="171">
        <f>'תשלומים מפורט'!J229</f>
        <v>9250</v>
      </c>
      <c r="E42" s="171">
        <f>'תשלומים מפורט'!K229</f>
        <v>11500</v>
      </c>
      <c r="F42" s="171">
        <f>'תשלומים מפורט'!L229</f>
        <v>12120</v>
      </c>
      <c r="G42" s="171">
        <f>'תשלומים מפורט'!M229</f>
        <v>12120</v>
      </c>
      <c r="H42" s="171">
        <f>'תשלומים מפורט'!N229</f>
        <v>15350.01281</v>
      </c>
    </row>
    <row r="43" spans="2:8" ht="12.75" customHeight="1">
      <c r="B43" s="23" t="s">
        <v>386</v>
      </c>
      <c r="C43" s="12" t="s">
        <v>387</v>
      </c>
      <c r="D43" s="172">
        <f>SUM(D39:D42)</f>
        <v>77955</v>
      </c>
      <c r="E43" s="172">
        <f>SUM(E39:E42)</f>
        <v>74101</v>
      </c>
      <c r="F43" s="172">
        <f>SUM(F39:F42)</f>
        <v>78485</v>
      </c>
      <c r="G43" s="172">
        <f>SUM(G39:G42)</f>
        <v>80291</v>
      </c>
      <c r="H43" s="172">
        <f>SUM(H39:H42)</f>
        <v>71515.301189999998</v>
      </c>
    </row>
    <row r="44" spans="2:8" ht="12.75" customHeight="1">
      <c r="B44" s="21" t="s">
        <v>388</v>
      </c>
      <c r="C44" s="10" t="str">
        <f>[0]!_7.</f>
        <v>שרותים מקומיים</v>
      </c>
      <c r="D44" s="173"/>
      <c r="E44" s="173"/>
      <c r="F44" s="173"/>
      <c r="G44" s="173"/>
      <c r="H44" s="173"/>
    </row>
    <row r="45" spans="2:8" ht="12.75" customHeight="1">
      <c r="B45" s="22" t="str">
        <f>'תשלומים מפורט'!E288</f>
        <v>71.</v>
      </c>
      <c r="C45" s="11" t="str">
        <f>[0]!_71.</f>
        <v>תברואה</v>
      </c>
      <c r="D45" s="171">
        <f>'תשלומים מפורט'!J288</f>
        <v>78248</v>
      </c>
      <c r="E45" s="171">
        <f>'תשלומים מפורט'!K288</f>
        <v>75071</v>
      </c>
      <c r="F45" s="171">
        <f>'תשלומים מפורט'!L288</f>
        <v>75792</v>
      </c>
      <c r="G45" s="171">
        <f>'תשלומים מפורט'!M288</f>
        <v>76251</v>
      </c>
      <c r="H45" s="171">
        <f>'תשלומים מפורט'!N288</f>
        <v>72596.567599999995</v>
      </c>
    </row>
    <row r="46" spans="2:8" ht="12.75" customHeight="1">
      <c r="B46" s="22" t="str">
        <f>'תשלומים מפורט'!E352</f>
        <v>72.</v>
      </c>
      <c r="C46" s="11" t="str">
        <f>[0]!_72.</f>
        <v>שמירה ובטחון</v>
      </c>
      <c r="D46" s="171">
        <f>'תשלומים מפורט'!J352</f>
        <v>14739</v>
      </c>
      <c r="E46" s="171">
        <f>'תשלומים מפורט'!K352</f>
        <v>10802</v>
      </c>
      <c r="F46" s="171">
        <f>'תשלומים מפורט'!L352</f>
        <v>11400</v>
      </c>
      <c r="G46" s="171">
        <f>'תשלומים מפורט'!M352</f>
        <v>11192</v>
      </c>
      <c r="H46" s="171">
        <f>'תשלומים מפורט'!N352</f>
        <v>9854.9682399999983</v>
      </c>
    </row>
    <row r="47" spans="2:8" ht="12.75" customHeight="1">
      <c r="B47" s="22" t="str">
        <f>'תשלומים מפורט'!E396</f>
        <v>73.</v>
      </c>
      <c r="C47" s="11" t="str">
        <f>[0]!_73.</f>
        <v>תכנון ובניין עיר</v>
      </c>
      <c r="D47" s="171">
        <f>'תשלומים מפורט'!J396</f>
        <v>22359</v>
      </c>
      <c r="E47" s="171">
        <f>'תשלומים מפורט'!K396</f>
        <v>20627</v>
      </c>
      <c r="F47" s="171">
        <f>'תשלומים מפורט'!L396</f>
        <v>22334</v>
      </c>
      <c r="G47" s="171">
        <f>'תשלומים מפורט'!M396</f>
        <v>22981</v>
      </c>
      <c r="H47" s="171">
        <f>'תשלומים מפורט'!N396</f>
        <v>17998.759679999999</v>
      </c>
    </row>
    <row r="48" spans="2:8" ht="12.75" customHeight="1">
      <c r="B48" s="22" t="str">
        <f>'תשלומים מפורט'!E488</f>
        <v>74.</v>
      </c>
      <c r="C48" s="11" t="str">
        <f>[0]!_74.</f>
        <v>נכסים צבוריים</v>
      </c>
      <c r="D48" s="171">
        <f>'תשלומים מפורט'!J488</f>
        <v>72041</v>
      </c>
      <c r="E48" s="171">
        <f>'תשלומים מפורט'!K488</f>
        <v>68884</v>
      </c>
      <c r="F48" s="171">
        <f>'תשלומים מפורט'!L488</f>
        <v>70683</v>
      </c>
      <c r="G48" s="171">
        <f>'תשלומים מפורט'!M488</f>
        <v>71887</v>
      </c>
      <c r="H48" s="171">
        <f>'תשלומים מפורט'!N488</f>
        <v>64109.558760000007</v>
      </c>
    </row>
    <row r="49" spans="2:8" ht="12.75" customHeight="1">
      <c r="B49" s="22" t="str">
        <f>'תשלומים מפורט'!E512</f>
        <v>75.</v>
      </c>
      <c r="C49" s="11" t="str">
        <f>[0]!_75.</f>
        <v>חגיגות וארועים</v>
      </c>
      <c r="D49" s="171">
        <f>'תשלומים מפורט'!J512</f>
        <v>1527</v>
      </c>
      <c r="E49" s="171">
        <f>'תשלומים מפורט'!K512</f>
        <v>751</v>
      </c>
      <c r="F49" s="171">
        <f>'תשלומים מפורט'!L512</f>
        <v>937</v>
      </c>
      <c r="G49" s="171">
        <f>'תשלומים מפורט'!M512</f>
        <v>2015</v>
      </c>
      <c r="H49" s="171">
        <f>'תשלומים מפורט'!N512</f>
        <v>1777.20948</v>
      </c>
    </row>
    <row r="50" spans="2:8" ht="12.75" customHeight="1">
      <c r="B50" s="22" t="str">
        <f>'תשלומים מפורט'!E576</f>
        <v>76.</v>
      </c>
      <c r="C50" s="11" t="str">
        <f>[0]!_76.</f>
        <v>שרותים שונים</v>
      </c>
      <c r="D50" s="171">
        <f>'תשלומים מפורט'!J576</f>
        <v>20804</v>
      </c>
      <c r="E50" s="171">
        <f>'תשלומים מפורט'!K576</f>
        <v>19661</v>
      </c>
      <c r="F50" s="171">
        <f>'תשלומים מפורט'!L576</f>
        <v>19911</v>
      </c>
      <c r="G50" s="171">
        <f>'תשלומים מפורט'!M576</f>
        <v>19576</v>
      </c>
      <c r="H50" s="171">
        <f>'תשלומים מפורט'!N576</f>
        <v>18744.431970000001</v>
      </c>
    </row>
    <row r="51" spans="2:8" ht="12.75" customHeight="1">
      <c r="B51" s="22" t="str">
        <f>'תשלומים מפורט'!E577</f>
        <v>77.</v>
      </c>
      <c r="C51" s="11" t="str">
        <f>'תשלומים מפורט'!F578</f>
        <v>מינהלת אזור התעשיה (החל משנת 2020 בפרק 613001)</v>
      </c>
      <c r="D51" s="171">
        <f>'תשלומים מפורט'!J588</f>
        <v>0</v>
      </c>
      <c r="E51" s="171">
        <f>'תשלומים מפורט'!K588</f>
        <v>0</v>
      </c>
      <c r="F51" s="171">
        <f>'תשלומים מפורט'!L588</f>
        <v>0</v>
      </c>
      <c r="G51" s="171">
        <f>'תשלומים מפורט'!M588</f>
        <v>0</v>
      </c>
      <c r="H51" s="171">
        <f>'תשלומים מפורט'!N588</f>
        <v>945.89425000000006</v>
      </c>
    </row>
    <row r="52" spans="2:8" ht="12.75" customHeight="1">
      <c r="B52" s="22" t="str">
        <f>'תשלומים מפורט'!E607</f>
        <v>78.</v>
      </c>
      <c r="C52" s="11" t="str">
        <f>[0]!_78.</f>
        <v>פיקוח עירוני</v>
      </c>
      <c r="D52" s="171">
        <f>'תשלומים מפורט'!J607</f>
        <v>9583</v>
      </c>
      <c r="E52" s="171">
        <f>'תשלומים מפורט'!K607</f>
        <v>8746</v>
      </c>
      <c r="F52" s="171">
        <f>'תשלומים מפורט'!L607</f>
        <v>9773</v>
      </c>
      <c r="G52" s="171">
        <f>'תשלומים מפורט'!M607</f>
        <v>10237</v>
      </c>
      <c r="H52" s="171">
        <f>'תשלומים מפורט'!N607</f>
        <v>7752.9568900000013</v>
      </c>
    </row>
    <row r="53" spans="2:8" ht="12.75" customHeight="1">
      <c r="B53" s="22" t="str">
        <f>'תשלומים מפורט'!E610</f>
        <v>79.</v>
      </c>
      <c r="C53" s="11" t="str">
        <f>[0]!_79.</f>
        <v>שרותים חקלאיים</v>
      </c>
      <c r="D53" s="171">
        <f>'תשלומים מפורט'!J610</f>
        <v>27</v>
      </c>
      <c r="E53" s="171">
        <f>'תשלומים מפורט'!K610</f>
        <v>27</v>
      </c>
      <c r="F53" s="171">
        <f>'תשלומים מפורט'!L610</f>
        <v>70</v>
      </c>
      <c r="G53" s="171">
        <f>'תשלומים מפורט'!M610</f>
        <v>70</v>
      </c>
      <c r="H53" s="171">
        <f>'תשלומים מפורט'!N610</f>
        <v>119.989</v>
      </c>
    </row>
    <row r="54" spans="2:8" ht="12.75" customHeight="1">
      <c r="B54" s="23" t="s">
        <v>388</v>
      </c>
      <c r="C54" s="12" t="s">
        <v>162</v>
      </c>
      <c r="D54" s="172">
        <f>SUM(D45:D53)</f>
        <v>219328</v>
      </c>
      <c r="E54" s="172">
        <f>SUM(E45:E53)</f>
        <v>204569</v>
      </c>
      <c r="F54" s="172">
        <f>SUM(F45:F53)</f>
        <v>210900</v>
      </c>
      <c r="G54" s="172">
        <f>SUM(G45:G53)</f>
        <v>214209</v>
      </c>
      <c r="H54" s="172">
        <f>SUM(H45:H53)</f>
        <v>193900.33587000001</v>
      </c>
    </row>
    <row r="55" spans="2:8" ht="12.75" customHeight="1">
      <c r="B55" s="21" t="s">
        <v>389</v>
      </c>
      <c r="C55" s="10" t="str">
        <f>[0]!_8.</f>
        <v>שרותים ממלכתיים</v>
      </c>
      <c r="D55" s="173"/>
      <c r="E55" s="173"/>
      <c r="F55" s="173"/>
      <c r="G55" s="173"/>
      <c r="H55" s="173"/>
    </row>
    <row r="56" spans="2:8" ht="12.75" customHeight="1">
      <c r="B56" s="22" t="str">
        <f>'תשלומים מפורט'!E1001</f>
        <v>81.</v>
      </c>
      <c r="C56" s="11" t="str">
        <f>[0]!_81.</f>
        <v>ח י נ ו ך</v>
      </c>
      <c r="D56" s="171">
        <f>'תשלומים מפורט'!J1001</f>
        <v>370306</v>
      </c>
      <c r="E56" s="171">
        <f>'תשלומים מפורט'!K1001</f>
        <v>345303</v>
      </c>
      <c r="F56" s="171">
        <f>'תשלומים מפורט'!L1001</f>
        <v>355816</v>
      </c>
      <c r="G56" s="171">
        <f>'תשלומים מפורט'!M1001</f>
        <v>347886</v>
      </c>
      <c r="H56" s="171">
        <f>'תשלומים מפורט'!N1001</f>
        <v>315842.06324999989</v>
      </c>
    </row>
    <row r="57" spans="2:8" ht="12.75" customHeight="1">
      <c r="B57" s="22" t="str">
        <f>'תשלומים מפורט'!E1326</f>
        <v>82.</v>
      </c>
      <c r="C57" s="11" t="str">
        <f>[0]!_82.</f>
        <v>תרבות, נוער וספורט</v>
      </c>
      <c r="D57" s="171">
        <f>'תשלומים מפורט'!J1326</f>
        <v>78593</v>
      </c>
      <c r="E57" s="171">
        <f>'תשלומים מפורט'!K1326</f>
        <v>71729</v>
      </c>
      <c r="F57" s="171">
        <f>'תשלומים מפורט'!L1326</f>
        <v>76706</v>
      </c>
      <c r="G57" s="171">
        <f>'תשלומים מפורט'!M1326</f>
        <v>80625</v>
      </c>
      <c r="H57" s="171">
        <f>'תשלומים מפורט'!N1326</f>
        <v>79823.807119999998</v>
      </c>
    </row>
    <row r="58" spans="2:8" ht="12.75" customHeight="1">
      <c r="B58" s="22" t="str">
        <f>'תשלומים מפורט'!E1352</f>
        <v>83.</v>
      </c>
      <c r="C58" s="11" t="str">
        <f>[0]!_83.</f>
        <v>בריאות</v>
      </c>
      <c r="D58" s="171">
        <f>'תשלומים מפורט'!J1352</f>
        <v>2864</v>
      </c>
      <c r="E58" s="171">
        <f>'תשלומים מפורט'!K1352</f>
        <v>2807</v>
      </c>
      <c r="F58" s="171">
        <f>'תשלומים מפורט'!L1352</f>
        <v>2745</v>
      </c>
      <c r="G58" s="171">
        <f>'תשלומים מפורט'!M1352</f>
        <v>2787</v>
      </c>
      <c r="H58" s="171">
        <f>'תשלומים מפורט'!N1352</f>
        <v>2430.0872200000003</v>
      </c>
    </row>
    <row r="59" spans="2:8" ht="12.75" customHeight="1">
      <c r="B59" s="22" t="str">
        <f>'תשלומים מפורט'!E1596</f>
        <v>84.</v>
      </c>
      <c r="C59" s="11" t="str">
        <f>[0]!_84.</f>
        <v>שרותי חברה, רווחה וקהילה</v>
      </c>
      <c r="D59" s="171">
        <f>'תשלומים מפורט'!J1596</f>
        <v>121707</v>
      </c>
      <c r="E59" s="171">
        <f>'תשלומים מפורט'!K1596</f>
        <v>114243</v>
      </c>
      <c r="F59" s="171">
        <f>'תשלומים מפורט'!L1596</f>
        <v>116463</v>
      </c>
      <c r="G59" s="171">
        <f>'תשלומים מפורט'!M1596</f>
        <v>114807</v>
      </c>
      <c r="H59" s="171">
        <f>'תשלומים מפורט'!N1596</f>
        <v>108007.33359000001</v>
      </c>
    </row>
    <row r="60" spans="2:8" ht="12.75" customHeight="1">
      <c r="B60" s="22" t="str">
        <f>'תשלומים מפורט'!E1609</f>
        <v>85.</v>
      </c>
      <c r="C60" s="11" t="str">
        <f>[0]!_85.</f>
        <v>שרותי דת</v>
      </c>
      <c r="D60" s="171">
        <f>'תשלומים מפורט'!J1609</f>
        <v>7375</v>
      </c>
      <c r="E60" s="171">
        <f>'תשלומים מפורט'!K1609</f>
        <v>7275</v>
      </c>
      <c r="F60" s="171">
        <f>'תשלומים מפורט'!L1609</f>
        <v>7275</v>
      </c>
      <c r="G60" s="171">
        <f>'תשלומים מפורט'!M1609</f>
        <v>7487</v>
      </c>
      <c r="H60" s="171">
        <f>'תשלומים מפורט'!N1609</f>
        <v>7479.326</v>
      </c>
    </row>
    <row r="61" spans="2:8" ht="12.75" customHeight="1">
      <c r="B61" s="22" t="str">
        <f>'תשלומים מפורט'!E1624</f>
        <v>86.</v>
      </c>
      <c r="C61" s="11" t="str">
        <f>[0]!_86.</f>
        <v>קליטת עלייה</v>
      </c>
      <c r="D61" s="171">
        <f>'תשלומים מפורט'!J1624</f>
        <v>479</v>
      </c>
      <c r="E61" s="171">
        <f>'תשלומים מפורט'!K1624</f>
        <v>261</v>
      </c>
      <c r="F61" s="171">
        <f>'תשלומים מפורט'!L1624</f>
        <v>564</v>
      </c>
      <c r="G61" s="171">
        <f>'תשלומים מפורט'!M1624</f>
        <v>594</v>
      </c>
      <c r="H61" s="171">
        <f>'תשלומים מפורט'!N1624</f>
        <v>207.05476999999999</v>
      </c>
    </row>
    <row r="62" spans="2:8" ht="12.75" customHeight="1">
      <c r="B62" s="22" t="str">
        <f>'תשלומים מפורט'!E1640</f>
        <v>87.</v>
      </c>
      <c r="C62" s="11" t="str">
        <f>[0]!_87.</f>
        <v>איכות הסביבה</v>
      </c>
      <c r="D62" s="171">
        <f>'תשלומים מפורט'!J1640</f>
        <v>2097</v>
      </c>
      <c r="E62" s="171">
        <f>'תשלומים מפורט'!K1640</f>
        <v>1542</v>
      </c>
      <c r="F62" s="171">
        <f>'תשלומים מפורט'!L1640</f>
        <v>1974</v>
      </c>
      <c r="G62" s="171">
        <f>'תשלומים מפורט'!M1640</f>
        <v>2258</v>
      </c>
      <c r="H62" s="171">
        <f>'תשלומים מפורט'!N1640</f>
        <v>2060.3427799999995</v>
      </c>
    </row>
    <row r="63" spans="2:8" ht="12.75" customHeight="1">
      <c r="B63" s="23" t="s">
        <v>389</v>
      </c>
      <c r="C63" s="12" t="s">
        <v>164</v>
      </c>
      <c r="D63" s="172">
        <f>SUM(D56:D62)</f>
        <v>583421</v>
      </c>
      <c r="E63" s="172">
        <f>SUM(E56:E62)</f>
        <v>543160</v>
      </c>
      <c r="F63" s="172">
        <f>SUM(F56:F62)</f>
        <v>561543</v>
      </c>
      <c r="G63" s="172">
        <f>SUM(G56:G62)</f>
        <v>556444</v>
      </c>
      <c r="H63" s="172">
        <f>SUM(H56:H62)</f>
        <v>515850.01472999988</v>
      </c>
    </row>
    <row r="64" spans="2:8" ht="12.75" customHeight="1">
      <c r="B64" s="21" t="s">
        <v>743</v>
      </c>
      <c r="C64" s="10" t="str">
        <f>[0]!_9.</f>
        <v>מפעלים, נכסים ותשלומים בלתי רגילים</v>
      </c>
      <c r="D64" s="173"/>
      <c r="E64" s="173"/>
      <c r="F64" s="173"/>
      <c r="G64" s="173"/>
      <c r="H64" s="173"/>
    </row>
    <row r="65" spans="2:8" ht="12.75" customHeight="1">
      <c r="B65" s="22" t="str">
        <f>'תשלומים מפורט'!E1647</f>
        <v>91.</v>
      </c>
      <c r="C65" s="11" t="str">
        <f>[0]!_91.</f>
        <v>מים</v>
      </c>
      <c r="D65" s="171">
        <f>'תשלומים מפורט'!J1647</f>
        <v>1995</v>
      </c>
      <c r="E65" s="171">
        <f>'תשלומים מפורט'!K1647</f>
        <v>1950</v>
      </c>
      <c r="F65" s="171">
        <f>'תשלומים מפורט'!L1647</f>
        <v>2160</v>
      </c>
      <c r="G65" s="171">
        <f>'תשלומים מפורט'!M1647</f>
        <v>2160</v>
      </c>
      <c r="H65" s="171">
        <f>'תשלומים מפורט'!N1647</f>
        <v>1968.93993</v>
      </c>
    </row>
    <row r="66" spans="2:8" ht="12.75" customHeight="1">
      <c r="B66" s="22" t="str">
        <f>'תשלומים מפורט'!E1721</f>
        <v>93.</v>
      </c>
      <c r="C66" s="11" t="str">
        <f>'תשלומים מפורט'!_93.</f>
        <v>נכסים, תחזוקה, לוגיסטיקה ומחסנים</v>
      </c>
      <c r="D66" s="171">
        <f>'תשלומים מפורט'!J1721</f>
        <v>23058</v>
      </c>
      <c r="E66" s="171">
        <f>'תשלומים מפורט'!K1721</f>
        <v>22000</v>
      </c>
      <c r="F66" s="171">
        <f>'תשלומים מפורט'!L1721</f>
        <v>23144</v>
      </c>
      <c r="G66" s="171">
        <f>'תשלומים מפורט'!M1721</f>
        <v>23980</v>
      </c>
      <c r="H66" s="171">
        <f>'תשלומים מפורט'!N1721</f>
        <v>21853.192919999998</v>
      </c>
    </row>
    <row r="67" spans="2:8" ht="12.75" customHeight="1">
      <c r="B67" s="22" t="str">
        <f>'תשלומים מפורט'!E1735:E1735</f>
        <v>94.</v>
      </c>
      <c r="C67" s="11" t="str">
        <f>[0]!_94.</f>
        <v>חניית מכוניות</v>
      </c>
      <c r="D67" s="171">
        <f>'תשלומים מפורט'!J1735:J1735</f>
        <v>3337</v>
      </c>
      <c r="E67" s="171">
        <f>'תשלומים מפורט'!K1735:K1735</f>
        <v>3145</v>
      </c>
      <c r="F67" s="171">
        <f>'תשלומים מפורט'!L1735:L1735</f>
        <v>3253</v>
      </c>
      <c r="G67" s="171">
        <f>'תשלומים מפורט'!M1735:M1735</f>
        <v>3734</v>
      </c>
      <c r="H67" s="171">
        <f>'תשלומים מפורט'!N1735:N1735</f>
        <v>3018.3298099999997</v>
      </c>
    </row>
    <row r="68" spans="2:8" ht="12.75" customHeight="1">
      <c r="B68" s="22" t="str">
        <f>'תשלומים מפורט'!E1749</f>
        <v>97.</v>
      </c>
      <c r="C68" s="11" t="str">
        <f>[0]!_97.</f>
        <v>מפעל הביוב</v>
      </c>
      <c r="D68" s="171">
        <f>'תשלומים מפורט'!J1749</f>
        <v>4906</v>
      </c>
      <c r="E68" s="171">
        <f>'תשלומים מפורט'!K1749</f>
        <v>6991</v>
      </c>
      <c r="F68" s="171">
        <f>'תשלומים מפורט'!L1749</f>
        <v>7360</v>
      </c>
      <c r="G68" s="171">
        <f>'תשלומים מפורט'!M1749</f>
        <v>7360</v>
      </c>
      <c r="H68" s="171">
        <f>'תשלומים מפורט'!N1749</f>
        <v>8255.0033399999993</v>
      </c>
    </row>
    <row r="69" spans="2:8" ht="12.75" customHeight="1">
      <c r="B69" s="22" t="str">
        <f>'תשלומים מפורט'!E1780</f>
        <v>99.</v>
      </c>
      <c r="C69" s="97" t="s">
        <v>279</v>
      </c>
      <c r="D69" s="171">
        <f>'תשלומים מפורט'!J1780</f>
        <v>115999.997</v>
      </c>
      <c r="E69" s="171">
        <f>'תשלומים מפורט'!K1780</f>
        <v>189054</v>
      </c>
      <c r="F69" s="171">
        <f>'תשלומים מפורט'!L1780</f>
        <v>189203</v>
      </c>
      <c r="G69" s="171">
        <f>'תשלומים מפורט'!M1780</f>
        <v>112572</v>
      </c>
      <c r="H69" s="171">
        <f>'תשלומים מפורט'!N1780</f>
        <v>132491.83126000001</v>
      </c>
    </row>
    <row r="70" spans="2:8" ht="12.75" customHeight="1">
      <c r="B70" s="23" t="s">
        <v>743</v>
      </c>
      <c r="C70" s="12" t="s">
        <v>1170</v>
      </c>
      <c r="D70" s="172">
        <f>SUM(D65:D69)</f>
        <v>149295.997</v>
      </c>
      <c r="E70" s="172">
        <f>SUM(E65:E69)</f>
        <v>223140</v>
      </c>
      <c r="F70" s="172">
        <f>SUM(F65:F69)</f>
        <v>225120</v>
      </c>
      <c r="G70" s="172">
        <f>SUM(G65:G69)</f>
        <v>149806</v>
      </c>
      <c r="H70" s="172">
        <f>SUM(H65:H69)</f>
        <v>167587.29726000002</v>
      </c>
    </row>
    <row r="71" spans="2:8" s="32" customFormat="1" ht="15.75" customHeight="1">
      <c r="B71" s="33" t="s">
        <v>744</v>
      </c>
      <c r="C71" s="34" t="s">
        <v>745</v>
      </c>
      <c r="D71" s="174">
        <f>SUMIF($B$38:$B$70,"?.",D38:D70)</f>
        <v>1029999.997</v>
      </c>
      <c r="E71" s="174">
        <f>SUMIF($B$38:$B$70,"?.",E38:E70)</f>
        <v>1044970</v>
      </c>
      <c r="F71" s="174">
        <f>SUMIF($B$38:$B$70,"?.",F38:F70)</f>
        <v>1076048</v>
      </c>
      <c r="G71" s="174">
        <f>SUMIF($B$38:$B$70,"?.",G38:G70)</f>
        <v>1000750</v>
      </c>
      <c r="H71" s="174">
        <f>SUMIF($B$38:$B$70,"?.",H38:H70)</f>
        <v>948852.94904999982</v>
      </c>
    </row>
    <row r="72" spans="2:8" ht="18.75" customHeight="1">
      <c r="B72" s="30"/>
      <c r="C72" s="14"/>
      <c r="D72" s="14"/>
      <c r="E72" s="14"/>
      <c r="F72" s="14"/>
      <c r="G72" s="14"/>
    </row>
    <row r="73" spans="2:8" ht="18.75" customHeight="1">
      <c r="B73" s="30" t="s">
        <v>746</v>
      </c>
      <c r="C73" s="14"/>
      <c r="D73" s="14"/>
      <c r="E73" s="14"/>
      <c r="F73" s="14"/>
      <c r="G73" s="14"/>
    </row>
    <row r="74" spans="2:8" ht="15.75" customHeight="1">
      <c r="B74" s="30"/>
      <c r="C74" s="14"/>
      <c r="D74" s="14"/>
      <c r="E74" s="14"/>
      <c r="F74" s="14"/>
      <c r="G74" s="14"/>
    </row>
    <row r="75" spans="2:8" ht="15" customHeight="1">
      <c r="C75" s="26" t="str">
        <f>C36</f>
        <v>ה צ ע ת  התקציב הרגיל לשנת: 2021</v>
      </c>
      <c r="D75" s="178" t="s">
        <v>426</v>
      </c>
      <c r="E75" s="178" t="s">
        <v>562</v>
      </c>
      <c r="F75" s="179" t="s">
        <v>563</v>
      </c>
      <c r="G75" s="15"/>
    </row>
    <row r="76" spans="2:8" ht="15" customHeight="1">
      <c r="C76" s="28" t="s">
        <v>564</v>
      </c>
      <c r="D76" s="25" t="str">
        <f>D37</f>
        <v>2021</v>
      </c>
      <c r="E76" s="25" t="str">
        <f>D76</f>
        <v>2021</v>
      </c>
      <c r="F76" s="180" t="s">
        <v>929</v>
      </c>
      <c r="G76" s="16"/>
    </row>
    <row r="77" spans="2:8" ht="12.75" customHeight="1">
      <c r="C77" s="31" t="s">
        <v>232</v>
      </c>
      <c r="D77" s="181">
        <f>SUM(D78:D82)</f>
        <v>635517</v>
      </c>
      <c r="E77" s="181">
        <f>SUM(E78:E82)</f>
        <v>77955</v>
      </c>
      <c r="F77" s="182">
        <f>SUM(F78:F82)</f>
        <v>557562</v>
      </c>
      <c r="G77" s="17"/>
    </row>
    <row r="78" spans="2:8" ht="12.75" customHeight="1">
      <c r="C78" s="27" t="str">
        <f>C4</f>
        <v>מיסים ואגרות</v>
      </c>
      <c r="D78" s="171">
        <f>D7</f>
        <v>635517</v>
      </c>
      <c r="E78" s="171">
        <v>0</v>
      </c>
      <c r="F78" s="171">
        <f>D78-E78</f>
        <v>635517</v>
      </c>
      <c r="G78" s="18"/>
    </row>
    <row r="79" spans="2:8" ht="12.75" customHeight="1">
      <c r="C79" s="27" t="str">
        <f>C39</f>
        <v>מינהל כללי</v>
      </c>
      <c r="D79" s="171">
        <v>0</v>
      </c>
      <c r="E79" s="171">
        <f>D39</f>
        <v>43824</v>
      </c>
      <c r="F79" s="171">
        <f>D79-E79</f>
        <v>-43824</v>
      </c>
      <c r="G79" s="18"/>
    </row>
    <row r="80" spans="2:8" ht="12.75" customHeight="1">
      <c r="C80" s="27" t="str">
        <f>C40</f>
        <v>מינהל כספי</v>
      </c>
      <c r="D80" s="171">
        <v>0</v>
      </c>
      <c r="E80" s="171">
        <f>D40</f>
        <v>21246</v>
      </c>
      <c r="F80" s="171">
        <f>D80-E80</f>
        <v>-21246</v>
      </c>
      <c r="G80" s="18"/>
    </row>
    <row r="81" spans="3:7" ht="12.75" customHeight="1">
      <c r="C81" s="27" t="str">
        <f>C41</f>
        <v>הוצאות מימון</v>
      </c>
      <c r="D81" s="171">
        <v>0</v>
      </c>
      <c r="E81" s="171">
        <f>D41</f>
        <v>3635</v>
      </c>
      <c r="F81" s="171">
        <f>D81-E81</f>
        <v>-3635</v>
      </c>
      <c r="G81" s="18"/>
    </row>
    <row r="82" spans="3:7" ht="12.75" customHeight="1">
      <c r="C82" s="29" t="str">
        <f>[0]!_64.</f>
        <v>פרעון מלוות</v>
      </c>
      <c r="D82" s="183">
        <v>0</v>
      </c>
      <c r="E82" s="183">
        <f>D42</f>
        <v>9250</v>
      </c>
      <c r="F82" s="183">
        <f>D82-E82</f>
        <v>-9250</v>
      </c>
      <c r="G82" s="18"/>
    </row>
    <row r="83" spans="3:7" ht="12.75" customHeight="1">
      <c r="C83" s="31" t="str">
        <f>[0]!_7.</f>
        <v>שרותים מקומיים</v>
      </c>
      <c r="D83" s="181">
        <f>SUM(D84:D92)</f>
        <v>35130</v>
      </c>
      <c r="E83" s="181">
        <f>SUM(E84:E92)</f>
        <v>219328</v>
      </c>
      <c r="F83" s="182">
        <f>SUM(F84:F92)</f>
        <v>-184198</v>
      </c>
      <c r="G83" s="17"/>
    </row>
    <row r="84" spans="3:7" ht="12.75" customHeight="1">
      <c r="C84" s="27" t="str">
        <f>[0]!_71.</f>
        <v>תברואה</v>
      </c>
      <c r="D84" s="171">
        <f>D9</f>
        <v>3473</v>
      </c>
      <c r="E84" s="171">
        <f t="shared" ref="E84:E89" si="1">D45</f>
        <v>78248</v>
      </c>
      <c r="F84" s="171">
        <f t="shared" ref="F84:F92" si="2">D84-E84</f>
        <v>-74775</v>
      </c>
      <c r="G84" s="18"/>
    </row>
    <row r="85" spans="3:7" ht="12.75" customHeight="1">
      <c r="C85" s="27" t="str">
        <f>[0]!_72.</f>
        <v>שמירה ובטחון</v>
      </c>
      <c r="D85" s="171">
        <f>D10</f>
        <v>0</v>
      </c>
      <c r="E85" s="171">
        <f t="shared" si="1"/>
        <v>14739</v>
      </c>
      <c r="F85" s="171">
        <f t="shared" si="2"/>
        <v>-14739</v>
      </c>
      <c r="G85" s="18"/>
    </row>
    <row r="86" spans="3:7" ht="12.75" customHeight="1">
      <c r="C86" s="27" t="str">
        <f>[0]!_73.</f>
        <v>תכנון ובניין עיר</v>
      </c>
      <c r="D86" s="171">
        <f>D11</f>
        <v>28042</v>
      </c>
      <c r="E86" s="171">
        <f t="shared" si="1"/>
        <v>22359</v>
      </c>
      <c r="F86" s="171">
        <f t="shared" si="2"/>
        <v>5683</v>
      </c>
      <c r="G86" s="18"/>
    </row>
    <row r="87" spans="3:7" ht="12.75" customHeight="1">
      <c r="C87" s="27" t="s">
        <v>18</v>
      </c>
      <c r="D87" s="171">
        <f>D12</f>
        <v>360</v>
      </c>
      <c r="E87" s="171">
        <f t="shared" si="1"/>
        <v>72041</v>
      </c>
      <c r="F87" s="171">
        <f t="shared" si="2"/>
        <v>-71681</v>
      </c>
      <c r="G87" s="18"/>
    </row>
    <row r="88" spans="3:7" ht="12.75" customHeight="1">
      <c r="C88" s="27" t="str">
        <f>[0]!_75.</f>
        <v>חגיגות וארועים</v>
      </c>
      <c r="D88" s="171">
        <v>0</v>
      </c>
      <c r="E88" s="171">
        <f t="shared" si="1"/>
        <v>1527</v>
      </c>
      <c r="F88" s="171">
        <f t="shared" si="2"/>
        <v>-1527</v>
      </c>
      <c r="G88" s="18"/>
    </row>
    <row r="89" spans="3:7" ht="12.75" customHeight="1">
      <c r="C89" s="27" t="str">
        <f>[0]!_76.</f>
        <v>שרותים שונים</v>
      </c>
      <c r="D89" s="171">
        <f>D13</f>
        <v>765</v>
      </c>
      <c r="E89" s="171">
        <f t="shared" si="1"/>
        <v>20804</v>
      </c>
      <c r="F89" s="171">
        <f t="shared" si="2"/>
        <v>-20039</v>
      </c>
      <c r="G89" s="18"/>
    </row>
    <row r="90" spans="3:7" ht="12.75" customHeight="1">
      <c r="C90" s="27" t="s">
        <v>715</v>
      </c>
      <c r="D90" s="171">
        <v>0</v>
      </c>
      <c r="E90" s="171">
        <f>'תשלומים מפורט'!J587</f>
        <v>0</v>
      </c>
      <c r="F90" s="171">
        <f t="shared" si="2"/>
        <v>0</v>
      </c>
      <c r="G90" s="18"/>
    </row>
    <row r="91" spans="3:7" ht="12.75" customHeight="1">
      <c r="C91" s="27" t="str">
        <f>[0]!_78.</f>
        <v>פיקוח עירוני</v>
      </c>
      <c r="D91" s="171">
        <f>D14</f>
        <v>2450</v>
      </c>
      <c r="E91" s="171">
        <f>D52</f>
        <v>9583</v>
      </c>
      <c r="F91" s="171">
        <f t="shared" si="2"/>
        <v>-7133</v>
      </c>
      <c r="G91" s="18"/>
    </row>
    <row r="92" spans="3:7" ht="12.75" customHeight="1">
      <c r="C92" s="29" t="str">
        <f>[0]!_79.</f>
        <v>שרותים חקלאיים</v>
      </c>
      <c r="D92" s="183">
        <f>D15</f>
        <v>40</v>
      </c>
      <c r="E92" s="183">
        <f>D53</f>
        <v>27</v>
      </c>
      <c r="F92" s="183">
        <f t="shared" si="2"/>
        <v>13</v>
      </c>
      <c r="G92" s="18"/>
    </row>
    <row r="93" spans="3:7" ht="12.75" customHeight="1">
      <c r="C93" s="31" t="str">
        <f>[0]!_8.</f>
        <v>שרותים ממלכתיים</v>
      </c>
      <c r="D93" s="181">
        <f>SUM(D94:D100)</f>
        <v>287361</v>
      </c>
      <c r="E93" s="181">
        <f>SUM(E94:E100)</f>
        <v>583421</v>
      </c>
      <c r="F93" s="182">
        <f>SUM(F94:F100)</f>
        <v>-296060</v>
      </c>
      <c r="G93" s="17"/>
    </row>
    <row r="94" spans="3:7" ht="12.75" customHeight="1">
      <c r="C94" s="27" t="str">
        <f>[0]!_81.</f>
        <v>ח י נ ו ך</v>
      </c>
      <c r="D94" s="171">
        <f>D18</f>
        <v>210115</v>
      </c>
      <c r="E94" s="171">
        <f t="shared" ref="E94:E100" si="3">D56</f>
        <v>370306</v>
      </c>
      <c r="F94" s="171">
        <f t="shared" ref="F94:F100" si="4">D94-E94</f>
        <v>-160191</v>
      </c>
      <c r="G94" s="18"/>
    </row>
    <row r="95" spans="3:7" ht="12.75" customHeight="1">
      <c r="C95" s="27" t="str">
        <f>[0]!_82.</f>
        <v>תרבות, נוער וספורט</v>
      </c>
      <c r="D95" s="171">
        <f>D19</f>
        <v>4229</v>
      </c>
      <c r="E95" s="171">
        <f t="shared" si="3"/>
        <v>78593</v>
      </c>
      <c r="F95" s="171">
        <f t="shared" si="4"/>
        <v>-74364</v>
      </c>
      <c r="G95" s="18"/>
    </row>
    <row r="96" spans="3:7" ht="12.75" customHeight="1">
      <c r="C96" s="27" t="str">
        <f>[0]!_83.</f>
        <v>בריאות</v>
      </c>
      <c r="D96" s="171">
        <f>D20</f>
        <v>120</v>
      </c>
      <c r="E96" s="171">
        <f t="shared" si="3"/>
        <v>2864</v>
      </c>
      <c r="F96" s="171">
        <f t="shared" si="4"/>
        <v>-2744</v>
      </c>
      <c r="G96" s="18"/>
    </row>
    <row r="97" spans="1:7" ht="12.75" customHeight="1">
      <c r="C97" s="27" t="str">
        <f>[0]!_84.</f>
        <v>שרותי חברה, רווחה וקהילה</v>
      </c>
      <c r="D97" s="171">
        <f>D21</f>
        <v>72093</v>
      </c>
      <c r="E97" s="171">
        <f t="shared" si="3"/>
        <v>121707</v>
      </c>
      <c r="F97" s="171">
        <f t="shared" si="4"/>
        <v>-49614</v>
      </c>
      <c r="G97" s="18"/>
    </row>
    <row r="98" spans="1:7" ht="12.75" customHeight="1">
      <c r="C98" s="27" t="str">
        <f>[0]!_85.</f>
        <v>שרותי דת</v>
      </c>
      <c r="D98" s="171">
        <v>0</v>
      </c>
      <c r="E98" s="171">
        <f t="shared" si="3"/>
        <v>7375</v>
      </c>
      <c r="F98" s="171">
        <f t="shared" si="4"/>
        <v>-7375</v>
      </c>
      <c r="G98" s="18"/>
    </row>
    <row r="99" spans="1:7" ht="12.75" customHeight="1">
      <c r="C99" s="27" t="str">
        <f>[0]!_86.</f>
        <v>קליטת עלייה</v>
      </c>
      <c r="D99" s="171">
        <f>D22</f>
        <v>196</v>
      </c>
      <c r="E99" s="171">
        <f t="shared" si="3"/>
        <v>479</v>
      </c>
      <c r="F99" s="171">
        <f t="shared" si="4"/>
        <v>-283</v>
      </c>
      <c r="G99" s="18"/>
    </row>
    <row r="100" spans="1:7" ht="12.75" customHeight="1">
      <c r="C100" s="29" t="str">
        <f>[0]!_87.</f>
        <v>איכות הסביבה</v>
      </c>
      <c r="D100" s="183">
        <f>D23</f>
        <v>608</v>
      </c>
      <c r="E100" s="183">
        <f t="shared" si="3"/>
        <v>2097</v>
      </c>
      <c r="F100" s="183">
        <f t="shared" si="4"/>
        <v>-1489</v>
      </c>
      <c r="G100" s="18"/>
    </row>
    <row r="101" spans="1:7" ht="12.75" customHeight="1">
      <c r="C101" s="31" t="str">
        <f>[0]!_9.</f>
        <v>מפעלים, נכסים ותשלומים בלתי רגילים</v>
      </c>
      <c r="D101" s="181">
        <f>SUM(D102:D106)</f>
        <v>71992</v>
      </c>
      <c r="E101" s="181">
        <f>SUM(E102:E106)</f>
        <v>149295.997</v>
      </c>
      <c r="F101" s="182">
        <f>SUM(F102:F106)</f>
        <v>-77303.997000000003</v>
      </c>
      <c r="G101" s="17"/>
    </row>
    <row r="102" spans="1:7" ht="12.75" customHeight="1">
      <c r="C102" s="27" t="str">
        <f>[0]!_91.</f>
        <v>מים</v>
      </c>
      <c r="D102" s="171">
        <f>D26</f>
        <v>2010</v>
      </c>
      <c r="E102" s="171">
        <f>D65</f>
        <v>1995</v>
      </c>
      <c r="F102" s="171">
        <f>D102-E102</f>
        <v>15</v>
      </c>
      <c r="G102" s="18"/>
    </row>
    <row r="103" spans="1:7" ht="12.75" customHeight="1">
      <c r="C103" s="27" t="str">
        <f>'תשלומים מפורט'!_93.</f>
        <v>נכסים, תחזוקה, לוגיסטיקה ומחסנים</v>
      </c>
      <c r="D103" s="171">
        <f>D27</f>
        <v>7990</v>
      </c>
      <c r="E103" s="171">
        <f>D66</f>
        <v>23058</v>
      </c>
      <c r="F103" s="171">
        <f>D103-E103</f>
        <v>-15068</v>
      </c>
      <c r="G103" s="18"/>
    </row>
    <row r="104" spans="1:7" ht="12.75" customHeight="1">
      <c r="C104" s="27" t="str">
        <f>[0]!_94.</f>
        <v>חניית מכוניות</v>
      </c>
      <c r="D104" s="171">
        <f>D28</f>
        <v>32960</v>
      </c>
      <c r="E104" s="171">
        <f>D67</f>
        <v>3337</v>
      </c>
      <c r="F104" s="171">
        <f>D104-E104</f>
        <v>29623</v>
      </c>
      <c r="G104" s="18"/>
    </row>
    <row r="105" spans="1:7" ht="12.75" customHeight="1">
      <c r="C105" s="27" t="str">
        <f>[0]!_97.</f>
        <v>מפעל הביוב</v>
      </c>
      <c r="D105" s="171">
        <f>D29</f>
        <v>1356</v>
      </c>
      <c r="E105" s="171">
        <f>D68</f>
        <v>4906</v>
      </c>
      <c r="F105" s="171">
        <f>D105-E105</f>
        <v>-3550</v>
      </c>
      <c r="G105" s="18"/>
    </row>
    <row r="106" spans="1:7" ht="12.75" customHeight="1">
      <c r="C106" s="29" t="s">
        <v>1171</v>
      </c>
      <c r="D106" s="183">
        <f>D32</f>
        <v>27676</v>
      </c>
      <c r="E106" s="183">
        <f>D69</f>
        <v>115999.997</v>
      </c>
      <c r="F106" s="183">
        <f>D106-E106</f>
        <v>-88323.997000000003</v>
      </c>
      <c r="G106" s="18"/>
    </row>
    <row r="107" spans="1:7" ht="15.75" customHeight="1">
      <c r="C107" s="35" t="s">
        <v>233</v>
      </c>
      <c r="D107" s="184">
        <f>D77+D83+D93+D101</f>
        <v>1030000</v>
      </c>
      <c r="E107" s="184">
        <f>E77+E83+E93+E101</f>
        <v>1029999.997</v>
      </c>
      <c r="F107" s="184">
        <f>F77+F83+F93+F101</f>
        <v>2.9999999969732016E-3</v>
      </c>
      <c r="G107" s="18"/>
    </row>
    <row r="108" spans="1:7" ht="15.75" customHeight="1">
      <c r="C108" s="91"/>
      <c r="D108" s="92"/>
      <c r="E108" s="92"/>
      <c r="F108" s="92"/>
      <c r="G108" s="18"/>
    </row>
    <row r="109" spans="1:7" ht="23.25" customHeight="1">
      <c r="B109" s="5" t="str">
        <f>C36</f>
        <v>ה צ ע ת  התקציב הרגיל לשנת: 2021</v>
      </c>
      <c r="C109" s="2"/>
      <c r="D109" s="2"/>
      <c r="E109" s="2"/>
      <c r="F109" s="2"/>
      <c r="G109" s="2"/>
    </row>
    <row r="110" spans="1:7" ht="20.5">
      <c r="B110" s="3" t="s">
        <v>234</v>
      </c>
      <c r="C110" s="2"/>
      <c r="D110" s="2"/>
      <c r="E110" s="2"/>
      <c r="F110" s="2"/>
      <c r="G110" s="2"/>
    </row>
    <row r="111" spans="1:7">
      <c r="A111" s="36" t="s">
        <v>295</v>
      </c>
    </row>
    <row r="113" spans="3:4">
      <c r="C113" s="4"/>
    </row>
    <row r="114" spans="3:4">
      <c r="D114" s="6"/>
    </row>
  </sheetData>
  <phoneticPr fontId="12" type="noConversion"/>
  <pageMargins left="0.74803149606299213" right="0.6692913385826772" top="1.1023622047244095" bottom="0.55118110236220474" header="0.43307086614173229" footer="0.27559055118110237"/>
  <pageSetup paperSize="9" scale="96"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34" max="16383" man="1"/>
    <brk id="72" max="16383" man="1"/>
    <brk id="108" max="16383" man="1"/>
  </rowBreaks>
  <ignoredErrors>
    <ignoredError sqref="C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255</vt:i4>
      </vt:variant>
    </vt:vector>
  </HeadingPairs>
  <TitlesOfParts>
    <vt:vector size="271" baseType="lpstr">
      <vt:lpstr>דף שער</vt:lpstr>
      <vt:lpstr>תוכן</vt:lpstr>
      <vt:lpstr>סעיפים</vt:lpstr>
      <vt:lpstr> הסבר לתקבולים</vt:lpstr>
      <vt:lpstr>הסבר לתשלומים</vt:lpstr>
      <vt:lpstr>יחידתי</vt:lpstr>
      <vt:lpstr>עצמיות</vt:lpstr>
      <vt:lpstr>יתר-ממשלה</vt:lpstr>
      <vt:lpstr>פרקים</vt:lpstr>
      <vt:lpstr>תמיכות והקצבות</vt:lpstr>
      <vt:lpstr>תמצית תקציב הועדה המרחבית</vt:lpstr>
      <vt:lpstr>תקן-משרות</vt:lpstr>
      <vt:lpstr>תקבולים מפורט</vt:lpstr>
      <vt:lpstr>תשלומים מפורט</vt:lpstr>
      <vt:lpstr>מפתח אגפי</vt:lpstr>
      <vt:lpstr>נספח כח-אדם</vt:lpstr>
      <vt:lpstr>_1.</vt:lpstr>
      <vt:lpstr>_11.</vt:lpstr>
      <vt:lpstr>_2.</vt:lpstr>
      <vt:lpstr>_21.</vt:lpstr>
      <vt:lpstr>_22.</vt:lpstr>
      <vt:lpstr>_23.</vt:lpstr>
      <vt:lpstr>_24.</vt:lpstr>
      <vt:lpstr>_244.</vt:lpstr>
      <vt:lpstr>_2472.</vt:lpstr>
      <vt:lpstr>_26.</vt:lpstr>
      <vt:lpstr>_28.</vt:lpstr>
      <vt:lpstr>_29.</vt:lpstr>
      <vt:lpstr>_3.</vt:lpstr>
      <vt:lpstr>_31.</vt:lpstr>
      <vt:lpstr>_312.</vt:lpstr>
      <vt:lpstr>_313.</vt:lpstr>
      <vt:lpstr>_3132.</vt:lpstr>
      <vt:lpstr>_3138.</vt:lpstr>
      <vt:lpstr>_314.</vt:lpstr>
      <vt:lpstr>_3141.</vt:lpstr>
      <vt:lpstr>_315.</vt:lpstr>
      <vt:lpstr>_317.</vt:lpstr>
      <vt:lpstr>_32.</vt:lpstr>
      <vt:lpstr>_323.</vt:lpstr>
      <vt:lpstr>_325.</vt:lpstr>
      <vt:lpstr>_326.</vt:lpstr>
      <vt:lpstr>_329.</vt:lpstr>
      <vt:lpstr>_34.</vt:lpstr>
      <vt:lpstr>_341.</vt:lpstr>
      <vt:lpstr>_342.</vt:lpstr>
      <vt:lpstr>_343.</vt:lpstr>
      <vt:lpstr>_344.</vt:lpstr>
      <vt:lpstr>_345.</vt:lpstr>
      <vt:lpstr>_346.</vt:lpstr>
      <vt:lpstr>_347.</vt:lpstr>
      <vt:lpstr>_348.</vt:lpstr>
      <vt:lpstr>_349.</vt:lpstr>
      <vt:lpstr>'תשלומים מפורט'!_36.</vt:lpstr>
      <vt:lpstr>_361.</vt:lpstr>
      <vt:lpstr>_369.</vt:lpstr>
      <vt:lpstr>_37.</vt:lpstr>
      <vt:lpstr>_379.</vt:lpstr>
      <vt:lpstr>_4.</vt:lpstr>
      <vt:lpstr>_41.</vt:lpstr>
      <vt:lpstr>_43.</vt:lpstr>
      <vt:lpstr>_44.</vt:lpstr>
      <vt:lpstr>_47.</vt:lpstr>
      <vt:lpstr>_5.</vt:lpstr>
      <vt:lpstr>_6.</vt:lpstr>
      <vt:lpstr>_61.</vt:lpstr>
      <vt:lpstr>_6111.</vt:lpstr>
      <vt:lpstr>_6112.</vt:lpstr>
      <vt:lpstr>_6113.</vt:lpstr>
      <vt:lpstr>_612.</vt:lpstr>
      <vt:lpstr>_6121.</vt:lpstr>
      <vt:lpstr>_613.</vt:lpstr>
      <vt:lpstr>_614.</vt:lpstr>
      <vt:lpstr>_615.</vt:lpstr>
      <vt:lpstr>_616.</vt:lpstr>
      <vt:lpstr>_617.</vt:lpstr>
      <vt:lpstr>_62.</vt:lpstr>
      <vt:lpstr>_621.</vt:lpstr>
      <vt:lpstr>_623.</vt:lpstr>
      <vt:lpstr>_63.</vt:lpstr>
      <vt:lpstr>_631.</vt:lpstr>
      <vt:lpstr>_632.</vt:lpstr>
      <vt:lpstr>_64.</vt:lpstr>
      <vt:lpstr>_6481.</vt:lpstr>
      <vt:lpstr>_7.</vt:lpstr>
      <vt:lpstr>_71.</vt:lpstr>
      <vt:lpstr>_711.</vt:lpstr>
      <vt:lpstr>_712.</vt:lpstr>
      <vt:lpstr>_713.</vt:lpstr>
      <vt:lpstr>_714.</vt:lpstr>
      <vt:lpstr>_715.</vt:lpstr>
      <vt:lpstr>_72.</vt:lpstr>
      <vt:lpstr>_721.</vt:lpstr>
      <vt:lpstr>_7221.</vt:lpstr>
      <vt:lpstr>_7227.</vt:lpstr>
      <vt:lpstr>_723.</vt:lpstr>
      <vt:lpstr>_726.</vt:lpstr>
      <vt:lpstr>_73.</vt:lpstr>
      <vt:lpstr>_731.</vt:lpstr>
      <vt:lpstr>_732.</vt:lpstr>
      <vt:lpstr>_7331.</vt:lpstr>
      <vt:lpstr>_7332.</vt:lpstr>
      <vt:lpstr>_734.</vt:lpstr>
      <vt:lpstr>_74.</vt:lpstr>
      <vt:lpstr>_742.</vt:lpstr>
      <vt:lpstr>_743.</vt:lpstr>
      <vt:lpstr>_744.</vt:lpstr>
      <vt:lpstr>_745.</vt:lpstr>
      <vt:lpstr>_746.</vt:lpstr>
      <vt:lpstr>_7461.</vt:lpstr>
      <vt:lpstr>_7472.</vt:lpstr>
      <vt:lpstr>_75.</vt:lpstr>
      <vt:lpstr>_751.</vt:lpstr>
      <vt:lpstr>_752.</vt:lpstr>
      <vt:lpstr>_753.</vt:lpstr>
      <vt:lpstr>_754.</vt:lpstr>
      <vt:lpstr>_76.</vt:lpstr>
      <vt:lpstr>_761.</vt:lpstr>
      <vt:lpstr>_7621.</vt:lpstr>
      <vt:lpstr>_764.</vt:lpstr>
      <vt:lpstr>_765.</vt:lpstr>
      <vt:lpstr>_766.</vt:lpstr>
      <vt:lpstr>_767.</vt:lpstr>
      <vt:lpstr>_7691.</vt:lpstr>
      <vt:lpstr>_7692.</vt:lpstr>
      <vt:lpstr>_77.</vt:lpstr>
      <vt:lpstr>_771.</vt:lpstr>
      <vt:lpstr>_78.</vt:lpstr>
      <vt:lpstr>_781.</vt:lpstr>
      <vt:lpstr>_782.</vt:lpstr>
      <vt:lpstr>_79.</vt:lpstr>
      <vt:lpstr>_8.</vt:lpstr>
      <vt:lpstr>_81.</vt:lpstr>
      <vt:lpstr>_811.</vt:lpstr>
      <vt:lpstr>_8119.</vt:lpstr>
      <vt:lpstr>_812.</vt:lpstr>
      <vt:lpstr>_8132.</vt:lpstr>
      <vt:lpstr>_81321.</vt:lpstr>
      <vt:lpstr>_81322.</vt:lpstr>
      <vt:lpstr>_8133.</vt:lpstr>
      <vt:lpstr>_8136.</vt:lpstr>
      <vt:lpstr>_813601.</vt:lpstr>
      <vt:lpstr>_8138.</vt:lpstr>
      <vt:lpstr>_814.</vt:lpstr>
      <vt:lpstr>_8141.</vt:lpstr>
      <vt:lpstr>_8152.</vt:lpstr>
      <vt:lpstr>_81521.</vt:lpstr>
      <vt:lpstr>_8159.</vt:lpstr>
      <vt:lpstr>_8168.</vt:lpstr>
      <vt:lpstr>_8171.</vt:lpstr>
      <vt:lpstr>_8172.</vt:lpstr>
      <vt:lpstr>_81721.</vt:lpstr>
      <vt:lpstr>_8173.</vt:lpstr>
      <vt:lpstr>_81741.</vt:lpstr>
      <vt:lpstr>_8175.</vt:lpstr>
      <vt:lpstr>_8177.</vt:lpstr>
      <vt:lpstr>_8178.</vt:lpstr>
      <vt:lpstr>_8179.</vt:lpstr>
      <vt:lpstr>_81791.</vt:lpstr>
      <vt:lpstr>_81792.</vt:lpstr>
      <vt:lpstr>_81793.</vt:lpstr>
      <vt:lpstr>_81795.</vt:lpstr>
      <vt:lpstr>_81796.</vt:lpstr>
      <vt:lpstr>_81797.</vt:lpstr>
      <vt:lpstr>_818.</vt:lpstr>
      <vt:lpstr>_82.</vt:lpstr>
      <vt:lpstr>_821.</vt:lpstr>
      <vt:lpstr>_822.</vt:lpstr>
      <vt:lpstr>_8221.</vt:lpstr>
      <vt:lpstr>_823.</vt:lpstr>
      <vt:lpstr>_8231.</vt:lpstr>
      <vt:lpstr>_8232.</vt:lpstr>
      <vt:lpstr>_8233.</vt:lpstr>
      <vt:lpstr>_8234.</vt:lpstr>
      <vt:lpstr>_8241.</vt:lpstr>
      <vt:lpstr>_8242.</vt:lpstr>
      <vt:lpstr>_8243.</vt:lpstr>
      <vt:lpstr>_82451.</vt:lpstr>
      <vt:lpstr>_82453.</vt:lpstr>
      <vt:lpstr>_82457.</vt:lpstr>
      <vt:lpstr>_8251.</vt:lpstr>
      <vt:lpstr>_8254.</vt:lpstr>
      <vt:lpstr>_8262.</vt:lpstr>
      <vt:lpstr>_82621.</vt:lpstr>
      <vt:lpstr>_8264.</vt:lpstr>
      <vt:lpstr>_82640.</vt:lpstr>
      <vt:lpstr>_82641.</vt:lpstr>
      <vt:lpstr>_827.</vt:lpstr>
      <vt:lpstr>_8281.</vt:lpstr>
      <vt:lpstr>_8282.</vt:lpstr>
      <vt:lpstr>_8285.</vt:lpstr>
      <vt:lpstr>_8289.</vt:lpstr>
      <vt:lpstr>_8291.</vt:lpstr>
      <vt:lpstr>_8292.</vt:lpstr>
      <vt:lpstr>_82921.</vt:lpstr>
      <vt:lpstr>_82922.</vt:lpstr>
      <vt:lpstr>_82923.</vt:lpstr>
      <vt:lpstr>_82924.</vt:lpstr>
      <vt:lpstr>_82925.</vt:lpstr>
      <vt:lpstr>_82929.</vt:lpstr>
      <vt:lpstr>_82952.</vt:lpstr>
      <vt:lpstr>_82953.</vt:lpstr>
      <vt:lpstr>_8299.</vt:lpstr>
      <vt:lpstr>_82991.</vt:lpstr>
      <vt:lpstr>_83.</vt:lpstr>
      <vt:lpstr>_831.</vt:lpstr>
      <vt:lpstr>_8322.</vt:lpstr>
      <vt:lpstr>_8325.</vt:lpstr>
      <vt:lpstr>_836.</vt:lpstr>
      <vt:lpstr>_84.</vt:lpstr>
      <vt:lpstr>_841.</vt:lpstr>
      <vt:lpstr>_842.</vt:lpstr>
      <vt:lpstr>_843.</vt:lpstr>
      <vt:lpstr>_844.</vt:lpstr>
      <vt:lpstr>_845.</vt:lpstr>
      <vt:lpstr>_846.</vt:lpstr>
      <vt:lpstr>_8474.</vt:lpstr>
      <vt:lpstr>_848.</vt:lpstr>
      <vt:lpstr>_84829.</vt:lpstr>
      <vt:lpstr>_849.</vt:lpstr>
      <vt:lpstr>_85.</vt:lpstr>
      <vt:lpstr>_851.</vt:lpstr>
      <vt:lpstr>_856.</vt:lpstr>
      <vt:lpstr>_86.</vt:lpstr>
      <vt:lpstr>_861.</vt:lpstr>
      <vt:lpstr>_869.</vt:lpstr>
      <vt:lpstr>_87.</vt:lpstr>
      <vt:lpstr>_879.</vt:lpstr>
      <vt:lpstr>_9.</vt:lpstr>
      <vt:lpstr>_91.</vt:lpstr>
      <vt:lpstr>_9131</vt:lpstr>
      <vt:lpstr>_9132.</vt:lpstr>
      <vt:lpstr>_93</vt:lpstr>
      <vt:lpstr>'תשלומים מפורט'!_93.</vt:lpstr>
      <vt:lpstr>_933.</vt:lpstr>
      <vt:lpstr>_9381.</vt:lpstr>
      <vt:lpstr>_9382.</vt:lpstr>
      <vt:lpstr>_9383.</vt:lpstr>
      <vt:lpstr>_9384.</vt:lpstr>
      <vt:lpstr>_94.</vt:lpstr>
      <vt:lpstr>_943.</vt:lpstr>
      <vt:lpstr>_97.</vt:lpstr>
      <vt:lpstr>_971.</vt:lpstr>
      <vt:lpstr>_972.</vt:lpstr>
      <vt:lpstr>_973.</vt:lpstr>
      <vt:lpstr>_99.</vt:lpstr>
      <vt:lpstr>_993.</vt:lpstr>
      <vt:lpstr>_994.</vt:lpstr>
      <vt:lpstr>_995.</vt:lpstr>
      <vt:lpstr>_9972.</vt:lpstr>
      <vt:lpstr>data</vt:lpstr>
      <vt:lpstr>'דף שער'!WPrint_Area_W</vt:lpstr>
      <vt:lpstr>'הסבר לתשלומים'!WPrint_Area_W</vt:lpstr>
      <vt:lpstr>יחידתי!WPrint_Area_W</vt:lpstr>
      <vt:lpstr>'יתר-ממשלה'!WPrint_Area_W</vt:lpstr>
      <vt:lpstr>'נספח כח-אדם'!WPrint_Area_W</vt:lpstr>
      <vt:lpstr>סעיפים!WPrint_Area_W</vt:lpstr>
      <vt:lpstr>עצמיות!WPrint_Area_W</vt:lpstr>
      <vt:lpstr>'תמיכות והקצבות'!WPrint_Area_W</vt:lpstr>
      <vt:lpstr>'תמצית תקציב הועדה המרחבית'!WPrint_Area_W</vt:lpstr>
      <vt:lpstr>'תקבולים מפורט'!WPrint_Area_W</vt:lpstr>
      <vt:lpstr>'תקן-משרות'!WPrint_Area_W</vt:lpstr>
      <vt:lpstr>'תשלומים מפורט'!WPrint_Area_W</vt:lpstr>
      <vt:lpstr>'מפתח אגפי'!WPrint_TitlesW</vt:lpstr>
      <vt:lpstr>'נספח כח-אדם'!WPrint_TitlesW</vt:lpstr>
      <vt:lpstr>עצמיות!WPrint_TitlesW</vt:lpstr>
      <vt:lpstr>תוכן!WPrint_TitlesW</vt:lpstr>
      <vt:lpstr>'תמיכות והקצבות'!WPrint_TitlesW</vt:lpstr>
      <vt:lpstr>'תקבולים מפורט'!WPrint_TitlesW</vt:lpstr>
      <vt:lpstr>'תשלומים מפורט'!WPrint_TitlesW</vt:lpstr>
      <vt:lpstr>מרכז_הספורט_החדש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Gizbarut-Yona Gam</dc:creator>
  <cp:lastModifiedBy>dovrut-Avner Perlmutter</cp:lastModifiedBy>
  <cp:lastPrinted>2020-11-23T15:27:25Z</cp:lastPrinted>
  <dcterms:created xsi:type="dcterms:W3CDTF">1998-03-18T11:11:52Z</dcterms:created>
  <dcterms:modified xsi:type="dcterms:W3CDTF">2021-01-03T09:32:46Z</dcterms:modified>
</cp:coreProperties>
</file>